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5" yWindow="4470" windowWidth="11355" windowHeight="4515" tabRatio="884" activeTab="1"/>
  </bookViews>
  <sheets>
    <sheet name="Front Page" sheetId="1" r:id="rId1"/>
    <sheet name="League Summary" sheetId="2" r:id="rId2"/>
    <sheet name="League Races Female" sheetId="3" r:id="rId3"/>
    <sheet name="League Races Male" sheetId="4" r:id="rId4"/>
    <sheet name="Personal Analysis" sheetId="5" r:id="rId5"/>
    <sheet name="Personal Calculator" sheetId="6" r:id="rId6"/>
    <sheet name="Race Analysis" sheetId="7" r:id="rId7"/>
    <sheet name="World Records" sheetId="8" state="hidden" r:id="rId8"/>
    <sheet name="Base Data" sheetId="9" state="hidden" r:id="rId9"/>
    <sheet name="Base Calculation" sheetId="10" state="hidden" r:id="rId10"/>
  </sheets>
  <definedNames>
    <definedName name="MASTERS" localSheetId="8">'Base Data'!$A$1:$O$85</definedName>
  </definedNames>
  <calcPr fullCalcOnLoad="1"/>
</workbook>
</file>

<file path=xl/sharedStrings.xml><?xml version="1.0" encoding="utf-8"?>
<sst xmlns="http://schemas.openxmlformats.org/spreadsheetml/2006/main" count="907" uniqueCount="273">
  <si>
    <t>DCSEX</t>
  </si>
  <si>
    <t>DNAGE</t>
  </si>
  <si>
    <t>M</t>
  </si>
  <si>
    <t>F</t>
  </si>
  <si>
    <t>Age</t>
  </si>
  <si>
    <t>Male</t>
  </si>
  <si>
    <t>World Record Times</t>
  </si>
  <si>
    <t>FEMALE</t>
  </si>
  <si>
    <t>null</t>
  </si>
  <si>
    <t>Enter Time</t>
  </si>
  <si>
    <t>Short</t>
  </si>
  <si>
    <t>Medium</t>
  </si>
  <si>
    <t>Long</t>
  </si>
  <si>
    <t>Rhayader 5k race 1</t>
  </si>
  <si>
    <t>Rhayader 5k race 2</t>
  </si>
  <si>
    <t>Rhayader 5k race 3</t>
  </si>
  <si>
    <t>Rhayader 5 mile</t>
  </si>
  <si>
    <t>Ras Y ddau Sant 10k</t>
  </si>
  <si>
    <t>Aberystwyth 10k</t>
  </si>
  <si>
    <t>Distance</t>
  </si>
  <si>
    <t>5k</t>
  </si>
  <si>
    <t>5 Mile</t>
  </si>
  <si>
    <t>10k</t>
  </si>
  <si>
    <t>Half Marathon</t>
  </si>
  <si>
    <t>20 Mile</t>
  </si>
  <si>
    <t>10 Mile</t>
  </si>
  <si>
    <t>Date</t>
  </si>
  <si>
    <t>20Mile</t>
  </si>
  <si>
    <t>Newtown 10k</t>
  </si>
  <si>
    <t>Dolgellau 5</t>
  </si>
  <si>
    <t>Ras Cors Caron</t>
  </si>
  <si>
    <t>Rhayader ‘Round the Lakes’</t>
  </si>
  <si>
    <t xml:space="preserve">Teifi 10 (Lampeter) </t>
  </si>
  <si>
    <t>Craig yr Aderyn</t>
  </si>
  <si>
    <t>Lake Vyrnwy</t>
  </si>
  <si>
    <t>Penmaenpool 10</t>
  </si>
  <si>
    <t>Actual Time</t>
  </si>
  <si>
    <t>Points</t>
  </si>
  <si>
    <t>Name</t>
  </si>
  <si>
    <t>1 Mile</t>
  </si>
  <si>
    <t>8k</t>
  </si>
  <si>
    <t>15k</t>
  </si>
  <si>
    <t>20k</t>
  </si>
  <si>
    <t>25k</t>
  </si>
  <si>
    <t>30k</t>
  </si>
  <si>
    <t>Clwb Athletau Aberystwyth Athletic Club</t>
  </si>
  <si>
    <t>Rated performance</t>
  </si>
  <si>
    <t>Predicted Performance at other distances</t>
  </si>
  <si>
    <t>Assess performance for a distance by clicking on the button.</t>
  </si>
  <si>
    <t>10 k</t>
  </si>
  <si>
    <t>15 k</t>
  </si>
  <si>
    <t>20 k</t>
  </si>
  <si>
    <t>25 k</t>
  </si>
  <si>
    <t>30 k</t>
  </si>
  <si>
    <t>Marathon</t>
  </si>
  <si>
    <t>Female</t>
  </si>
  <si>
    <t>Race</t>
  </si>
  <si>
    <t>League 2006 - 2007</t>
  </si>
  <si>
    <t>Table of race distances  used to feed the spinners in Row 5</t>
  </si>
  <si>
    <t>Calculates which race in each of the short - medium Long catagories has the highest number of points and is there ore the qualifying race in the table.  First step is to confirm that a race has been complete in the category - thisis done by summing the values of the points - if greater than zero then the largest score is identified.</t>
  </si>
  <si>
    <t>Optional</t>
  </si>
  <si>
    <t>Option</t>
  </si>
  <si>
    <t>Total Points</t>
  </si>
  <si>
    <t>Qualified?</t>
  </si>
  <si>
    <t>This is a test to see whether the person has qualified by having one race in each area.</t>
  </si>
  <si>
    <t>Calculates which race in each of the short - medium Long catagories has the highest number of points and is there ore the qualifying race in the table.  First step is to confirm that a race has been complete in the category - thisis done by summing the va</t>
  </si>
  <si>
    <t>These cells test for the Highest Points scorers in each race and act as a lever for 1,2,3 positioning</t>
  </si>
  <si>
    <t>Ages must be entered in the range 30 years to 70 years</t>
  </si>
  <si>
    <t>Times must be entered in HH:MM:SS. Times will be highlighted for the 1(Red), 2(Blue), 3(Green) highest POINTS scorers in a race.  Points will highlight for the highest personal scores in the Short, Medium and Long groups</t>
  </si>
  <si>
    <t>Output and processing of sex selection</t>
  </si>
  <si>
    <t>Age Weighted performance</t>
  </si>
  <si>
    <t>Age Weighted Best</t>
  </si>
  <si>
    <t>Predicted Performance</t>
  </si>
  <si>
    <t>World Record Time</t>
  </si>
  <si>
    <t>Held By</t>
  </si>
  <si>
    <t xml:space="preserve">Set at </t>
  </si>
  <si>
    <t>Sammy Kipketer (KEN)</t>
  </si>
  <si>
    <t>Carlsbad</t>
  </si>
  <si>
    <t>Kingsport</t>
  </si>
  <si>
    <t># Ismael Kirui (KEN)</t>
  </si>
  <si>
    <t>Dublin</t>
  </si>
  <si>
    <t>Haile Gebrselassie (ETH)</t>
  </si>
  <si>
    <t>Tilburg (Part of 10 Miles)</t>
  </si>
  <si>
    <t>Takayuki Matsumiya (JPN)</t>
  </si>
  <si>
    <t>Kumamoto</t>
  </si>
  <si>
    <t>Steve Jones (GBR)</t>
  </si>
  <si>
    <t>Chicago (part of Marathon)</t>
  </si>
  <si>
    <t>Paul Tergat (KEN)</t>
  </si>
  <si>
    <t>Berlin</t>
  </si>
  <si>
    <t>Time</t>
  </si>
  <si>
    <t>Set By</t>
  </si>
  <si>
    <t>Location</t>
  </si>
  <si>
    <t>Hicham El Guerrouj (MAR</t>
  </si>
  <si>
    <t>Rome</t>
  </si>
  <si>
    <t>Distance selector used to capture info from the Base Calculation page and from the World Record page</t>
  </si>
  <si>
    <t>Zurich</t>
  </si>
  <si>
    <t># Paula Radcliffe (GBR)</t>
  </si>
  <si>
    <t>San Juan</t>
  </si>
  <si>
    <t># Sonia O'Sullivan (IRL)</t>
  </si>
  <si>
    <t>Loughrea</t>
  </si>
  <si>
    <t>Paula Radcliffe (GBR)</t>
  </si>
  <si>
    <t>London</t>
  </si>
  <si>
    <t>Svetlana Masterkova (RUS)</t>
  </si>
  <si>
    <t>Columns a,b,c &amp;d are hidden. They contain formula required to support the Vlook from the Personal Calulator page</t>
  </si>
  <si>
    <r>
      <t>Times must be entered in HH:MM:SS.</t>
    </r>
    <r>
      <rPr>
        <sz val="10"/>
        <rFont val="Comic Sans MS"/>
        <family val="4"/>
      </rPr>
      <t xml:space="preserve"> Times will be highlighted for the 1(Red), 2(Blue), 3(Green) highest POINTS scorers in a race.  Points will highlight for the highest personal scores in the Short, Medium and Long groups</t>
    </r>
  </si>
  <si>
    <t>Distance Code</t>
  </si>
  <si>
    <t>See Note above for entry of Distance Code Number</t>
  </si>
  <si>
    <t>Age 30-70</t>
  </si>
  <si>
    <t>Qualified</t>
  </si>
  <si>
    <t>Details</t>
  </si>
  <si>
    <t>Total</t>
  </si>
  <si>
    <t>Ranks the position of people on the number of quailfying points and provides extra relationship to Name &amp; Age so that League Summary Table can be populated in rank order</t>
  </si>
  <si>
    <t>Total Races</t>
  </si>
  <si>
    <t>Counts the number of league races a person has completed</t>
  </si>
  <si>
    <t>Number of people with active points</t>
  </si>
  <si>
    <t>Hidden Columns provide the processing of the league table positioning to feed the League Summary - ON no account must these be touched.</t>
  </si>
  <si>
    <t>Aberystwyth A.C. Club 5k (Spring)</t>
  </si>
  <si>
    <t>Aberystwyth A.C. Club 5k (Autumn)</t>
  </si>
  <si>
    <t>Spinner selection for Sex. Used to identify sheet where results will be drawb from</t>
  </si>
  <si>
    <t>Concatenated Sheet Name</t>
  </si>
  <si>
    <t>Ranks the times that people finished in so that ranking info can be passed to the Vlookup going into the Race Analysis sheet</t>
  </si>
  <si>
    <t>Chosen Race for Analysis</t>
  </si>
  <si>
    <t>Details relating to ranked race participants included here for ease of pick up into Vlookup to Race Analysis</t>
  </si>
  <si>
    <t>Position</t>
  </si>
  <si>
    <t>Sex</t>
  </si>
  <si>
    <t>What do You need to do to beat ….</t>
  </si>
  <si>
    <t>Your Age</t>
  </si>
  <si>
    <t>Your Time</t>
  </si>
  <si>
    <t>Their Age</t>
  </si>
  <si>
    <t>Their Time</t>
  </si>
  <si>
    <t>These cells give the world best look up scores for the race comparison times</t>
  </si>
  <si>
    <t>These are linked to Leagure Races Female and provide race distance and codes to be used in look up for caomparison</t>
  </si>
  <si>
    <t>To match your rival you have to run this race in …..</t>
  </si>
  <si>
    <t>Hidden columns contain processing information for this page - please do not touch</t>
  </si>
  <si>
    <t>League Summary</t>
  </si>
  <si>
    <t>Race Results - Male</t>
  </si>
  <si>
    <t>Race Results - Female</t>
  </si>
  <si>
    <t>Race Analysis</t>
  </si>
  <si>
    <t>Personal Analysis</t>
  </si>
  <si>
    <t>Performance Calculator</t>
  </si>
  <si>
    <t>Front Page</t>
  </si>
  <si>
    <t>Mal</t>
  </si>
  <si>
    <t>Sex Selection</t>
  </si>
  <si>
    <t>Name selection</t>
  </si>
  <si>
    <t>Qualifying Points</t>
  </si>
  <si>
    <t>Must complete and nominate an Optional race</t>
  </si>
  <si>
    <t>No races completed yet</t>
  </si>
  <si>
    <t>Must nominate an Optional race</t>
  </si>
  <si>
    <t>Still needs to complete Medium, Long and Optional races to qualify</t>
  </si>
  <si>
    <t>Still needs to complete Short, Long and Optional races to qualify</t>
  </si>
  <si>
    <t>Still needs to complete Medium and Optional races to qualify</t>
  </si>
  <si>
    <t>Still needs complete Short, Medium and Optional races to qualify</t>
  </si>
  <si>
    <t>Still needs to complete Long and Optional races to qualify</t>
  </si>
  <si>
    <t>Still needs to complete Short and Optional races to qualify</t>
  </si>
  <si>
    <t>Final Points Total</t>
  </si>
  <si>
    <t>Best Short</t>
  </si>
  <si>
    <t>Best Medium</t>
  </si>
  <si>
    <t>Best Long</t>
  </si>
  <si>
    <t>Cells on left count whether a race is completed in each section- total is used to inform message from group below</t>
  </si>
  <si>
    <t>Calculates number of completed races</t>
  </si>
  <si>
    <t>Race Participants</t>
  </si>
  <si>
    <t>Participants</t>
  </si>
  <si>
    <t>Female Runners</t>
  </si>
  <si>
    <t>Error table for Points ranking</t>
  </si>
  <si>
    <t>Points Ranking</t>
  </si>
  <si>
    <t>League Races Completed</t>
  </si>
  <si>
    <t>Short Consistency</t>
  </si>
  <si>
    <t>Medium Consistency</t>
  </si>
  <si>
    <t>Long Consistency</t>
  </si>
  <si>
    <t>Overall Consistency</t>
  </si>
  <si>
    <t>Process</t>
  </si>
  <si>
    <t>Coulmns</t>
  </si>
  <si>
    <t>Athletics Weekly</t>
  </si>
  <si>
    <t>Association Road Racing Statistics</t>
  </si>
  <si>
    <t>Peter Githuka (KEN)</t>
  </si>
  <si>
    <t>Brunsum NED</t>
  </si>
  <si>
    <t>Felix Limo</t>
  </si>
  <si>
    <t>Nijmegen NED</t>
  </si>
  <si>
    <t>Zerisenay Tadesse (ERI)</t>
  </si>
  <si>
    <t>Debrecen HUN</t>
  </si>
  <si>
    <t>Paul Kosgei (KEN)</t>
  </si>
  <si>
    <t>Berlin GER</t>
  </si>
  <si>
    <t>Source</t>
  </si>
  <si>
    <t>Meseret Defar (ETH)</t>
  </si>
  <si>
    <t>Asmae Leghzaoui (MAR)</t>
  </si>
  <si>
    <t>New York NY/USA</t>
  </si>
  <si>
    <t>Ingrid Kristiansen (NOR)</t>
  </si>
  <si>
    <t>Monaco MON</t>
  </si>
  <si>
    <t>Lidiya Grigoryeva (RUS)</t>
  </si>
  <si>
    <t>Washington DC/USA</t>
  </si>
  <si>
    <t>Lornah Kiplagat (NED)</t>
  </si>
  <si>
    <t>Paula Radcliffe (ENG)</t>
  </si>
  <si>
    <t>Bristol ENG</t>
  </si>
  <si>
    <t>Marty Cooksey (USA)</t>
  </si>
  <si>
    <t>Pasadena CA/USA</t>
  </si>
  <si>
    <t>Kate O'Sullivan</t>
  </si>
  <si>
    <t>Glenda Roberts</t>
  </si>
  <si>
    <t>Gwen Parry</t>
  </si>
  <si>
    <t>Megan Williams</t>
  </si>
  <si>
    <t>Dave Powell</t>
  </si>
  <si>
    <t>Geoff Oldrid</t>
  </si>
  <si>
    <t>Kevin Holland</t>
  </si>
  <si>
    <t>John Evans</t>
  </si>
  <si>
    <t>Arwel James</t>
  </si>
  <si>
    <t>Martyn Saycell</t>
  </si>
  <si>
    <t>Tony Wenlock</t>
  </si>
  <si>
    <t>Clive Williams</t>
  </si>
  <si>
    <t>Paul Arnold</t>
  </si>
  <si>
    <t>Adriano Evola</t>
  </si>
  <si>
    <t>Brian Ashton</t>
  </si>
  <si>
    <t>Louise Barker</t>
  </si>
  <si>
    <t>Bridget Parkinson</t>
  </si>
  <si>
    <t>Pete Foale</t>
  </si>
  <si>
    <t>Clive Evans</t>
  </si>
  <si>
    <t>Geraint Evans</t>
  </si>
  <si>
    <t>Daniel Burgess</t>
  </si>
  <si>
    <t>Anita Saycell</t>
  </si>
  <si>
    <t>Helen Williams</t>
  </si>
  <si>
    <t>Llanelli Half Marathon</t>
  </si>
  <si>
    <t>Paul Scullion</t>
  </si>
  <si>
    <t>Shelley Childs</t>
  </si>
  <si>
    <t>Tomos Hywel</t>
  </si>
  <si>
    <t>Gethin Holland</t>
  </si>
  <si>
    <t>Peter Garson</t>
  </si>
  <si>
    <t>Daniel Davies</t>
  </si>
  <si>
    <t>Will Troughton</t>
  </si>
  <si>
    <t>Andy Eden</t>
  </si>
  <si>
    <t>Cliff Thomas</t>
  </si>
  <si>
    <t>Sarah Birch</t>
  </si>
  <si>
    <t>Anita Worthing</t>
  </si>
  <si>
    <t>Anwen James</t>
  </si>
  <si>
    <t>Carys Prytherch</t>
  </si>
  <si>
    <t>Paul Rose</t>
  </si>
  <si>
    <t>Karen Williams</t>
  </si>
  <si>
    <t>Sian Thomas</t>
  </si>
  <si>
    <t>Danny Evans</t>
  </si>
  <si>
    <t>Gwen Clements</t>
  </si>
  <si>
    <t>Marion Garson</t>
  </si>
  <si>
    <t>Anna Bradley</t>
  </si>
  <si>
    <t>Tina Hansen</t>
  </si>
  <si>
    <t>Pontypridd reverse 10 mile</t>
  </si>
  <si>
    <t>Scott Tompsett</t>
  </si>
  <si>
    <t>Jos Jones</t>
  </si>
  <si>
    <t>Elizabeth Stieler</t>
  </si>
  <si>
    <t>Emma Smith</t>
  </si>
  <si>
    <t>Lynnette Peck</t>
  </si>
  <si>
    <t>Heather Pitcher</t>
  </si>
  <si>
    <t>Shari James</t>
  </si>
  <si>
    <t>Rhian Breese</t>
  </si>
  <si>
    <t>Hayley Revell</t>
  </si>
  <si>
    <t>Beth Holland</t>
  </si>
  <si>
    <t>Include Optionals</t>
  </si>
  <si>
    <t>This area is used to rank the selected races in Race Analysis. It checks first to see if someone competed(BJ) and then ranks race times (BK,BL) BM is the look up lever from Race analysis table.</t>
  </si>
  <si>
    <t>Spinner control for Race selection within required sex sheet. Note BD 21 is the spinner output box and provide info to the League Sex tables  where the particiants and rankings are identified</t>
  </si>
  <si>
    <t>The table below has two purposes - 1 it feeds the League sex tables with the league race names and 2 it is the lookup up table for league race analysis.</t>
  </si>
  <si>
    <t xml:space="preserve">This area provides control mechanism to support the Race Analysis table. It works in conjunction with the League Race Man and Female tables where the race participants are identified and ranked. Seperate tables are provided for male and female participants and these are selected by option buttons so that only one is shown in the table. </t>
  </si>
  <si>
    <t>Rhayder 5 Mile</t>
  </si>
  <si>
    <t>Aber 5k Spring</t>
  </si>
  <si>
    <t>Mark Steiler</t>
  </si>
  <si>
    <t>Rhayader Race 3</t>
  </si>
  <si>
    <t>Rhayader 2</t>
  </si>
  <si>
    <t>Rhayader Race 2</t>
  </si>
  <si>
    <t>Rhas y dau sant</t>
  </si>
  <si>
    <t>Rhayder 3</t>
  </si>
  <si>
    <t>Stephen King</t>
  </si>
  <si>
    <t>Delor Harvey</t>
  </si>
  <si>
    <t>Helen Stretch</t>
  </si>
  <si>
    <t>Sue Ginley</t>
  </si>
  <si>
    <t>Gwilym Jones</t>
  </si>
  <si>
    <t>Ian Evans</t>
  </si>
  <si>
    <t>Rosemary Reese</t>
  </si>
  <si>
    <t>Ras y Ddua Sant</t>
  </si>
  <si>
    <t>Bath Half Marathon</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</si>
</sst>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
    <numFmt numFmtId="165" formatCode="&quot;Yes&quot;;&quot;Yes&quot;;&quot;No&quot;"/>
    <numFmt numFmtId="166" formatCode="&quot;True&quot;;&quot;True&quot;;&quot;False&quot;"/>
    <numFmt numFmtId="167" formatCode="&quot;On&quot;;&quot;On&quot;;&quot;Off&quot;"/>
    <numFmt numFmtId="168" formatCode="[$€-2]\ #,##0.00_);[Red]\([$€-2]\ #,##0.00\)"/>
    <numFmt numFmtId="169" formatCode="[$-809]dd\ mmmm\ yyyy"/>
    <numFmt numFmtId="170" formatCode="[$-F800]dddd\,\ mmmm\ dd\,\ yyyy"/>
    <numFmt numFmtId="171" formatCode="d\-mmm\-yy"/>
    <numFmt numFmtId="172" formatCode="0.0"/>
    <numFmt numFmtId="173" formatCode="0.0000"/>
    <numFmt numFmtId="174" formatCode="0.000"/>
    <numFmt numFmtId="175" formatCode="0.000000"/>
    <numFmt numFmtId="176" formatCode="0.00000000"/>
    <numFmt numFmtId="177" formatCode="0.0000000"/>
  </numFmts>
  <fonts count="41">
    <font>
      <sz val="10"/>
      <name val="Arial"/>
      <family val="0"/>
    </font>
    <font>
      <b/>
      <sz val="10"/>
      <name val="Arial"/>
      <family val="2"/>
    </font>
    <font>
      <sz val="8"/>
      <name val="Tahoma"/>
      <family val="2"/>
    </font>
    <font>
      <sz val="12"/>
      <name val="Comic Sans MS"/>
      <family val="4"/>
    </font>
    <font>
      <sz val="10"/>
      <color indexed="13"/>
      <name val="Arial"/>
      <family val="2"/>
    </font>
    <font>
      <sz val="11"/>
      <name val="Comic Sans MS"/>
      <family val="4"/>
    </font>
    <font>
      <b/>
      <sz val="11"/>
      <name val="Comic Sans MS"/>
      <family val="4"/>
    </font>
    <font>
      <b/>
      <sz val="10"/>
      <name val="Comic Sans MS"/>
      <family val="4"/>
    </font>
    <font>
      <sz val="10"/>
      <name val="Comic Sans MS"/>
      <family val="4"/>
    </font>
    <font>
      <sz val="8"/>
      <name val="Arial"/>
      <family val="0"/>
    </font>
    <font>
      <sz val="10"/>
      <color indexed="41"/>
      <name val="Arial"/>
      <family val="0"/>
    </font>
    <font>
      <sz val="14"/>
      <color indexed="13"/>
      <name val="Comic Sans MS"/>
      <family val="4"/>
    </font>
    <font>
      <sz val="10"/>
      <color indexed="42"/>
      <name val="Arial"/>
      <family val="0"/>
    </font>
    <font>
      <b/>
      <sz val="14"/>
      <name val="Comic Sans MS"/>
      <family val="4"/>
    </font>
    <font>
      <b/>
      <u val="single"/>
      <sz val="10"/>
      <color indexed="10"/>
      <name val="Comic Sans MS"/>
      <family val="4"/>
    </font>
    <font>
      <sz val="9"/>
      <name val="Comic Sans MS"/>
      <family val="4"/>
    </font>
    <font>
      <sz val="10"/>
      <color indexed="10"/>
      <name val="Comic Sans MS"/>
      <family val="4"/>
    </font>
    <font>
      <b/>
      <sz val="9"/>
      <name val="Comic Sans MS"/>
      <family val="4"/>
    </font>
    <font>
      <b/>
      <sz val="8"/>
      <name val="Comic Sans MS"/>
      <family val="4"/>
    </font>
    <font>
      <sz val="10"/>
      <color indexed="8"/>
      <name val="Comic Sans MS"/>
      <family val="4"/>
    </font>
    <font>
      <sz val="8"/>
      <name val="Comic Sans MS"/>
      <family val="4"/>
    </font>
    <font>
      <b/>
      <sz val="12"/>
      <color indexed="13"/>
      <name val="Comic Sans MS"/>
      <family val="4"/>
    </font>
    <font>
      <b/>
      <sz val="10"/>
      <color indexed="13"/>
      <name val="Arial"/>
      <family val="0"/>
    </font>
    <font>
      <b/>
      <sz val="12"/>
      <name val="Comic Sans MS"/>
      <family val="4"/>
    </font>
    <font>
      <b/>
      <sz val="12"/>
      <name val="Arial"/>
      <family val="0"/>
    </font>
    <font>
      <b/>
      <sz val="14"/>
      <color indexed="13"/>
      <name val="Comic Sans MS"/>
      <family val="4"/>
    </font>
    <font>
      <b/>
      <sz val="14"/>
      <color indexed="13"/>
      <name val="Arial"/>
      <family val="0"/>
    </font>
    <font>
      <sz val="10"/>
      <color indexed="9"/>
      <name val="Arial"/>
      <family val="2"/>
    </font>
    <font>
      <sz val="10"/>
      <color indexed="9"/>
      <name val="Comic Sans MS"/>
      <family val="4"/>
    </font>
    <font>
      <u val="single"/>
      <sz val="10"/>
      <name val="Comic Sans MS"/>
      <family val="4"/>
    </font>
    <font>
      <b/>
      <u val="single"/>
      <sz val="12"/>
      <name val="Comic Sans MS"/>
      <family val="4"/>
    </font>
    <font>
      <i/>
      <u val="single"/>
      <sz val="10"/>
      <name val="Comic Sans MS"/>
      <family val="4"/>
    </font>
    <font>
      <b/>
      <u val="single"/>
      <sz val="12"/>
      <color indexed="10"/>
      <name val="Comic Sans MS"/>
      <family val="4"/>
    </font>
    <font>
      <u val="single"/>
      <sz val="10"/>
      <color indexed="12"/>
      <name val="Arial"/>
      <family val="0"/>
    </font>
    <font>
      <u val="single"/>
      <sz val="10"/>
      <color indexed="36"/>
      <name val="Arial"/>
      <family val="0"/>
    </font>
    <font>
      <u val="single"/>
      <sz val="12"/>
      <color indexed="12"/>
      <name val="Comic Sans MS"/>
      <family val="4"/>
    </font>
    <font>
      <sz val="16"/>
      <color indexed="10"/>
      <name val="Comic Sans MS"/>
      <family val="4"/>
    </font>
    <font>
      <b/>
      <sz val="16"/>
      <color indexed="13"/>
      <name val="Comic Sans MS"/>
      <family val="4"/>
    </font>
    <font>
      <b/>
      <sz val="10"/>
      <color indexed="10"/>
      <name val="Comic Sans MS"/>
      <family val="4"/>
    </font>
    <font>
      <sz val="10"/>
      <color indexed="10"/>
      <name val="Arial"/>
      <family val="2"/>
    </font>
    <font>
      <sz val="8"/>
      <color indexed="9"/>
      <name val="Comic Sans MS"/>
      <family val="4"/>
    </font>
  </fonts>
  <fills count="21">
    <fill>
      <patternFill/>
    </fill>
    <fill>
      <patternFill patternType="gray125"/>
    </fill>
    <fill>
      <patternFill patternType="solid">
        <fgColor indexed="41"/>
        <bgColor indexed="64"/>
      </patternFill>
    </fill>
    <fill>
      <patternFill patternType="solid">
        <fgColor indexed="45"/>
        <bgColor indexed="64"/>
      </patternFill>
    </fill>
    <fill>
      <patternFill patternType="solid">
        <fgColor indexed="13"/>
        <bgColor indexed="64"/>
      </patternFill>
    </fill>
    <fill>
      <patternFill patternType="solid">
        <fgColor indexed="8"/>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51"/>
        <bgColor indexed="64"/>
      </patternFill>
    </fill>
    <fill>
      <patternFill patternType="solid">
        <fgColor indexed="47"/>
        <bgColor indexed="64"/>
      </patternFill>
    </fill>
    <fill>
      <patternFill patternType="solid">
        <fgColor indexed="15"/>
        <bgColor indexed="64"/>
      </patternFill>
    </fill>
    <fill>
      <patternFill patternType="solid">
        <fgColor indexed="11"/>
        <bgColor indexed="64"/>
      </patternFill>
    </fill>
    <fill>
      <patternFill patternType="solid">
        <fgColor indexed="10"/>
        <bgColor indexed="64"/>
      </patternFill>
    </fill>
    <fill>
      <patternFill patternType="solid">
        <fgColor indexed="14"/>
        <bgColor indexed="64"/>
      </patternFill>
    </fill>
    <fill>
      <patternFill patternType="solid">
        <fgColor indexed="44"/>
        <bgColor indexed="64"/>
      </patternFill>
    </fill>
    <fill>
      <patternFill patternType="solid">
        <fgColor indexed="48"/>
        <bgColor indexed="64"/>
      </patternFill>
    </fill>
    <fill>
      <patternFill patternType="solid">
        <fgColor indexed="46"/>
        <bgColor indexed="64"/>
      </patternFill>
    </fill>
    <fill>
      <patternFill patternType="solid">
        <fgColor indexed="61"/>
        <bgColor indexed="64"/>
      </patternFill>
    </fill>
    <fill>
      <patternFill patternType="solid">
        <fgColor indexed="26"/>
        <bgColor indexed="64"/>
      </patternFill>
    </fill>
    <fill>
      <patternFill patternType="solid">
        <fgColor indexed="52"/>
        <bgColor indexed="64"/>
      </patternFill>
    </fill>
  </fills>
  <borders count="63">
    <border>
      <left/>
      <right/>
      <top/>
      <bottom/>
      <diagonal/>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style="thin"/>
      <top style="medium"/>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thin"/>
    </border>
    <border>
      <left style="medium"/>
      <right style="thin"/>
      <top style="thin"/>
      <bottom style="medium"/>
    </border>
    <border>
      <left style="thin"/>
      <right>
        <color indexed="63"/>
      </right>
      <top style="thin"/>
      <bottom style="thin"/>
    </border>
    <border>
      <left style="thin"/>
      <right>
        <color indexed="63"/>
      </right>
      <top style="thin"/>
      <bottom>
        <color indexed="63"/>
      </bottom>
    </border>
    <border>
      <left style="medium"/>
      <right>
        <color indexed="63"/>
      </right>
      <top style="thin"/>
      <bottom>
        <color indexed="63"/>
      </bottom>
    </border>
    <border>
      <left style="thin"/>
      <right style="thin"/>
      <top style="thin"/>
      <bottom style="medium"/>
    </border>
    <border>
      <left style="thin"/>
      <right>
        <color indexed="63"/>
      </right>
      <top style="thin"/>
      <bottom style="medium"/>
    </border>
    <border>
      <left>
        <color indexed="63"/>
      </left>
      <right>
        <color indexed="63"/>
      </right>
      <top style="medium"/>
      <bottom style="thin"/>
    </border>
    <border>
      <left>
        <color indexed="63"/>
      </left>
      <right>
        <color indexed="63"/>
      </right>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medium"/>
      <bottom style="medium"/>
    </border>
    <border>
      <left style="medium"/>
      <right>
        <color indexed="63"/>
      </right>
      <top style="thin"/>
      <bottom style="medium"/>
    </border>
    <border>
      <left style="thin"/>
      <right style="medium"/>
      <top style="thin"/>
      <bottom style="medium"/>
    </border>
    <border>
      <left style="thin"/>
      <right style="thin"/>
      <top style="medium"/>
      <bottom style="thin"/>
    </border>
    <border>
      <left style="thin"/>
      <right style="thin"/>
      <top>
        <color indexed="63"/>
      </top>
      <bottom>
        <color indexed="63"/>
      </bottom>
    </border>
    <border>
      <left style="thin"/>
      <right style="medium"/>
      <top>
        <color indexed="63"/>
      </top>
      <bottom>
        <color indexed="63"/>
      </bottom>
    </border>
    <border>
      <left style="thin"/>
      <right style="thin"/>
      <top style="medium"/>
      <bottom style="medium"/>
    </border>
    <border>
      <left style="thin"/>
      <right style="medium"/>
      <top style="medium"/>
      <bottom style="medium"/>
    </border>
    <border>
      <left style="thin"/>
      <right>
        <color indexed="63"/>
      </right>
      <top style="medium"/>
      <bottom style="thin"/>
    </border>
    <border>
      <left style="thin"/>
      <right style="medium"/>
      <top style="medium"/>
      <bottom style="thin"/>
    </border>
    <border>
      <left style="thin"/>
      <right>
        <color indexed="63"/>
      </right>
      <top>
        <color indexed="63"/>
      </top>
      <bottom>
        <color indexed="63"/>
      </bottom>
    </border>
    <border>
      <left style="medium"/>
      <right style="medium"/>
      <top style="medium"/>
      <bottom style="medium"/>
    </border>
    <border>
      <left style="medium"/>
      <right style="thin"/>
      <top>
        <color indexed="63"/>
      </top>
      <bottom style="thin"/>
    </border>
    <border>
      <left style="thin"/>
      <right>
        <color indexed="63"/>
      </right>
      <top style="medium"/>
      <bottom style="medium"/>
    </border>
    <border>
      <left style="medium"/>
      <right>
        <color indexed="63"/>
      </right>
      <top style="medium"/>
      <bottom style="thin"/>
    </border>
    <border>
      <left style="medium"/>
      <right>
        <color indexed="63"/>
      </right>
      <top style="thin"/>
      <bottom style="thin"/>
    </border>
    <border>
      <left style="thin"/>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medium"/>
      <bottom style="thin"/>
    </border>
    <border>
      <left>
        <color indexed="63"/>
      </left>
      <right style="medium"/>
      <top style="medium"/>
      <bottom style="thin"/>
    </border>
    <border>
      <left style="thin"/>
      <right style="medium"/>
      <top>
        <color indexed="63"/>
      </top>
      <bottom style="thin"/>
    </border>
    <border>
      <left style="thin"/>
      <right style="thin"/>
      <top>
        <color indexed="63"/>
      </top>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color indexed="63"/>
      </left>
      <right style="thin"/>
      <top style="thin"/>
      <bottom style="medium"/>
    </border>
    <border>
      <left style="thin"/>
      <right>
        <color indexed="63"/>
      </right>
      <top style="medium"/>
      <bottom>
        <color indexed="63"/>
      </bottom>
    </border>
    <border>
      <left>
        <color indexed="63"/>
      </left>
      <right>
        <color indexed="63"/>
      </right>
      <top style="thin"/>
      <bottom>
        <color indexed="63"/>
      </bottom>
    </border>
    <border>
      <left>
        <color indexed="63"/>
      </left>
      <right style="medium"/>
      <top style="thin"/>
      <bottom style="thin"/>
    </border>
    <border>
      <left>
        <color indexed="63"/>
      </left>
      <right style="thin"/>
      <top style="medium"/>
      <bottom>
        <color indexed="63"/>
      </botto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9" fontId="0" fillId="0" borderId="0" applyFont="0" applyFill="0" applyBorder="0" applyAlignment="0" applyProtection="0"/>
  </cellStyleXfs>
  <cellXfs count="434">
    <xf numFmtId="0" fontId="0" fillId="0" borderId="0" xfId="0" applyAlignment="1">
      <alignment/>
    </xf>
    <xf numFmtId="0" fontId="1" fillId="0" borderId="0" xfId="0" applyFont="1" applyAlignment="1">
      <alignment/>
    </xf>
    <xf numFmtId="21" fontId="0" fillId="0" borderId="0" xfId="0" applyNumberFormat="1" applyAlignment="1">
      <alignment/>
    </xf>
    <xf numFmtId="164" fontId="0" fillId="0" borderId="0" xfId="0" applyNumberFormat="1" applyAlignment="1">
      <alignment/>
    </xf>
    <xf numFmtId="0" fontId="0" fillId="2" borderId="0" xfId="0" applyFill="1" applyAlignment="1">
      <alignment/>
    </xf>
    <xf numFmtId="21" fontId="0" fillId="2" borderId="0" xfId="0" applyNumberFormat="1" applyFill="1" applyAlignment="1">
      <alignment/>
    </xf>
    <xf numFmtId="0" fontId="1" fillId="2" borderId="0" xfId="0" applyFont="1" applyFill="1" applyAlignment="1">
      <alignment/>
    </xf>
    <xf numFmtId="0" fontId="0" fillId="3" borderId="0" xfId="0" applyFill="1" applyAlignment="1">
      <alignment/>
    </xf>
    <xf numFmtId="21" fontId="0" fillId="3" borderId="0" xfId="0" applyNumberFormat="1" applyFill="1" applyAlignment="1">
      <alignment/>
    </xf>
    <xf numFmtId="0" fontId="1" fillId="3" borderId="0" xfId="0" applyFont="1" applyFill="1" applyAlignment="1">
      <alignment/>
    </xf>
    <xf numFmtId="21" fontId="0" fillId="4" borderId="0" xfId="0" applyNumberFormat="1" applyFill="1" applyAlignment="1">
      <alignment/>
    </xf>
    <xf numFmtId="0" fontId="0" fillId="4" borderId="0" xfId="0" applyFill="1" applyAlignment="1">
      <alignment/>
    </xf>
    <xf numFmtId="0" fontId="4" fillId="4" borderId="0" xfId="0" applyFont="1" applyFill="1" applyAlignment="1">
      <alignment/>
    </xf>
    <xf numFmtId="0" fontId="0" fillId="5" borderId="0" xfId="0" applyFill="1" applyAlignment="1">
      <alignment/>
    </xf>
    <xf numFmtId="0" fontId="0" fillId="6" borderId="1" xfId="0" applyFill="1" applyBorder="1" applyAlignment="1">
      <alignment/>
    </xf>
    <xf numFmtId="0" fontId="0" fillId="6" borderId="2" xfId="0" applyFill="1" applyBorder="1" applyAlignment="1">
      <alignment/>
    </xf>
    <xf numFmtId="0" fontId="0" fillId="6" borderId="3" xfId="0" applyFill="1" applyBorder="1" applyAlignment="1">
      <alignment/>
    </xf>
    <xf numFmtId="21" fontId="0" fillId="6" borderId="4" xfId="0" applyNumberFormat="1" applyFill="1" applyBorder="1" applyAlignment="1">
      <alignment/>
    </xf>
    <xf numFmtId="0" fontId="0" fillId="6" borderId="5" xfId="0" applyFill="1" applyBorder="1" applyAlignment="1">
      <alignment/>
    </xf>
    <xf numFmtId="0" fontId="6" fillId="6" borderId="6" xfId="0" applyFont="1" applyFill="1" applyBorder="1" applyAlignment="1">
      <alignment/>
    </xf>
    <xf numFmtId="0" fontId="0" fillId="7" borderId="0" xfId="0" applyFill="1" applyAlignment="1">
      <alignment/>
    </xf>
    <xf numFmtId="10" fontId="0" fillId="7" borderId="0" xfId="21" applyNumberFormat="1" applyFill="1" applyAlignment="1">
      <alignment/>
    </xf>
    <xf numFmtId="0" fontId="1" fillId="7" borderId="0" xfId="0" applyFont="1" applyFill="1" applyAlignment="1">
      <alignment/>
    </xf>
    <xf numFmtId="0" fontId="8" fillId="2" borderId="0" xfId="0" applyFont="1" applyFill="1" applyAlignment="1">
      <alignment horizontal="center" vertical="center"/>
    </xf>
    <xf numFmtId="0" fontId="0" fillId="0" borderId="7" xfId="0" applyBorder="1" applyAlignment="1">
      <alignment/>
    </xf>
    <xf numFmtId="2" fontId="0" fillId="0" borderId="0" xfId="0" applyNumberFormat="1" applyAlignment="1">
      <alignment/>
    </xf>
    <xf numFmtId="0" fontId="0" fillId="8" borderId="7" xfId="0" applyFill="1" applyBorder="1" applyAlignment="1">
      <alignment horizontal="center" wrapText="1"/>
    </xf>
    <xf numFmtId="0" fontId="0" fillId="9" borderId="8" xfId="0" applyFill="1" applyBorder="1" applyAlignment="1">
      <alignment horizontal="center" wrapText="1"/>
    </xf>
    <xf numFmtId="0" fontId="0" fillId="9" borderId="7" xfId="0" applyFill="1" applyBorder="1" applyAlignment="1">
      <alignment horizontal="center" wrapText="1"/>
    </xf>
    <xf numFmtId="0" fontId="0" fillId="10" borderId="8" xfId="0" applyFill="1" applyBorder="1" applyAlignment="1">
      <alignment horizontal="center" wrapText="1"/>
    </xf>
    <xf numFmtId="0" fontId="0" fillId="10" borderId="7" xfId="0" applyFill="1" applyBorder="1" applyAlignment="1">
      <alignment horizontal="center" wrapText="1"/>
    </xf>
    <xf numFmtId="0" fontId="0" fillId="10" borderId="9" xfId="0" applyFill="1" applyBorder="1" applyAlignment="1">
      <alignment horizontal="center" wrapText="1"/>
    </xf>
    <xf numFmtId="17" fontId="0" fillId="10" borderId="10" xfId="0" applyNumberFormat="1" applyFill="1" applyBorder="1" applyAlignment="1">
      <alignment horizontal="center" wrapText="1"/>
    </xf>
    <xf numFmtId="14" fontId="0" fillId="10" borderId="11" xfId="0" applyNumberFormat="1" applyFill="1" applyBorder="1" applyAlignment="1">
      <alignment horizontal="center" wrapText="1"/>
    </xf>
    <xf numFmtId="17" fontId="0" fillId="10" borderId="12" xfId="0" applyNumberFormat="1" applyFill="1" applyBorder="1" applyAlignment="1">
      <alignment horizontal="center" wrapText="1"/>
    </xf>
    <xf numFmtId="14" fontId="0" fillId="8" borderId="11" xfId="0" applyNumberFormat="1" applyFill="1" applyBorder="1" applyAlignment="1">
      <alignment horizontal="center" wrapText="1"/>
    </xf>
    <xf numFmtId="17" fontId="0" fillId="8" borderId="11" xfId="0" applyNumberFormat="1" applyFill="1" applyBorder="1" applyAlignment="1">
      <alignment horizontal="center" wrapText="1"/>
    </xf>
    <xf numFmtId="14" fontId="0" fillId="9" borderId="10" xfId="0" applyNumberFormat="1" applyFill="1" applyBorder="1" applyAlignment="1">
      <alignment horizontal="center" wrapText="1"/>
    </xf>
    <xf numFmtId="14" fontId="0" fillId="9" borderId="11" xfId="0" applyNumberFormat="1" applyFill="1" applyBorder="1" applyAlignment="1">
      <alignment horizontal="center" wrapText="1"/>
    </xf>
    <xf numFmtId="0" fontId="0" fillId="9" borderId="11" xfId="0" applyFill="1" applyBorder="1" applyAlignment="1">
      <alignment horizontal="center" wrapText="1"/>
    </xf>
    <xf numFmtId="0" fontId="0" fillId="0" borderId="13" xfId="0" applyBorder="1" applyAlignment="1">
      <alignment/>
    </xf>
    <xf numFmtId="21" fontId="0" fillId="0" borderId="13" xfId="0" applyNumberFormat="1" applyFill="1" applyBorder="1" applyAlignment="1">
      <alignment/>
    </xf>
    <xf numFmtId="2" fontId="0" fillId="2" borderId="14" xfId="21" applyNumberFormat="1" applyFill="1" applyBorder="1" applyAlignment="1">
      <alignment/>
    </xf>
    <xf numFmtId="0" fontId="0" fillId="8" borderId="15" xfId="0" applyFill="1" applyBorder="1" applyAlignment="1">
      <alignment horizontal="center" wrapText="1"/>
    </xf>
    <xf numFmtId="17" fontId="0" fillId="8" borderId="16" xfId="0" applyNumberFormat="1" applyFill="1" applyBorder="1" applyAlignment="1">
      <alignment horizontal="center" wrapText="1"/>
    </xf>
    <xf numFmtId="0" fontId="0" fillId="2" borderId="17" xfId="0" applyFill="1" applyBorder="1" applyAlignment="1">
      <alignment wrapText="1"/>
    </xf>
    <xf numFmtId="0" fontId="0" fillId="2" borderId="18" xfId="0" applyFill="1" applyBorder="1" applyAlignment="1">
      <alignment/>
    </xf>
    <xf numFmtId="0" fontId="0" fillId="2" borderId="19" xfId="0" applyFill="1" applyBorder="1" applyAlignment="1">
      <alignment wrapText="1"/>
    </xf>
    <xf numFmtId="0" fontId="10" fillId="2" borderId="14" xfId="0" applyFont="1" applyFill="1" applyBorder="1" applyAlignment="1">
      <alignment/>
    </xf>
    <xf numFmtId="0" fontId="0" fillId="8" borderId="8" xfId="0" applyFill="1" applyBorder="1" applyAlignment="1">
      <alignment horizontal="center" wrapText="1"/>
    </xf>
    <xf numFmtId="0" fontId="0" fillId="8" borderId="9" xfId="0" applyFill="1" applyBorder="1" applyAlignment="1">
      <alignment horizontal="center" wrapText="1"/>
    </xf>
    <xf numFmtId="14" fontId="0" fillId="8" borderId="10" xfId="0" applyNumberFormat="1" applyFill="1" applyBorder="1" applyAlignment="1">
      <alignment horizontal="center" wrapText="1"/>
    </xf>
    <xf numFmtId="17" fontId="0" fillId="8" borderId="12" xfId="0" applyNumberFormat="1" applyFill="1" applyBorder="1" applyAlignment="1">
      <alignment horizontal="center" wrapText="1"/>
    </xf>
    <xf numFmtId="0" fontId="0" fillId="7" borderId="17" xfId="0" applyFill="1" applyBorder="1" applyAlignment="1">
      <alignment wrapText="1"/>
    </xf>
    <xf numFmtId="0" fontId="0" fillId="7" borderId="19" xfId="0" applyFill="1" applyBorder="1" applyAlignment="1">
      <alignment wrapText="1"/>
    </xf>
    <xf numFmtId="0" fontId="0" fillId="7" borderId="18" xfId="0" applyFill="1" applyBorder="1" applyAlignment="1">
      <alignment/>
    </xf>
    <xf numFmtId="2" fontId="0" fillId="7" borderId="14" xfId="21" applyNumberFormat="1" applyFill="1" applyBorder="1" applyAlignment="1">
      <alignment/>
    </xf>
    <xf numFmtId="0" fontId="8" fillId="7" borderId="0" xfId="0" applyFont="1" applyFill="1" applyAlignment="1">
      <alignment horizontal="center" vertical="center"/>
    </xf>
    <xf numFmtId="0" fontId="12" fillId="7" borderId="14" xfId="0" applyFont="1" applyFill="1" applyBorder="1" applyAlignment="1">
      <alignment/>
    </xf>
    <xf numFmtId="0" fontId="13" fillId="7" borderId="0" xfId="0" applyFont="1" applyFill="1" applyAlignment="1">
      <alignment horizontal="center" vertical="center"/>
    </xf>
    <xf numFmtId="0" fontId="13" fillId="2" borderId="0" xfId="0" applyFont="1" applyFill="1" applyAlignment="1">
      <alignment horizontal="center" vertical="center"/>
    </xf>
    <xf numFmtId="0" fontId="4" fillId="5" borderId="0" xfId="0" applyFont="1" applyFill="1" applyAlignment="1">
      <alignment/>
    </xf>
    <xf numFmtId="0" fontId="0" fillId="2" borderId="20" xfId="0" applyFill="1" applyBorder="1" applyAlignment="1">
      <alignment wrapText="1"/>
    </xf>
    <xf numFmtId="0" fontId="0" fillId="2" borderId="21" xfId="0" applyFill="1" applyBorder="1" applyAlignment="1">
      <alignment wrapText="1"/>
    </xf>
    <xf numFmtId="0" fontId="0" fillId="7" borderId="20" xfId="0" applyFill="1" applyBorder="1" applyAlignment="1">
      <alignment wrapText="1"/>
    </xf>
    <xf numFmtId="0" fontId="0" fillId="7" borderId="21" xfId="0" applyFill="1" applyBorder="1" applyAlignment="1">
      <alignment wrapText="1"/>
    </xf>
    <xf numFmtId="0" fontId="0" fillId="7" borderId="7" xfId="0" applyFill="1" applyBorder="1" applyAlignment="1">
      <alignment/>
    </xf>
    <xf numFmtId="0" fontId="8" fillId="7" borderId="0" xfId="0" applyFont="1" applyFill="1" applyAlignment="1">
      <alignment/>
    </xf>
    <xf numFmtId="21" fontId="17" fillId="11" borderId="15" xfId="0" applyNumberFormat="1" applyFont="1" applyFill="1" applyBorder="1" applyAlignment="1">
      <alignment wrapText="1"/>
    </xf>
    <xf numFmtId="0" fontId="0" fillId="0" borderId="7"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24" xfId="0" applyFont="1" applyBorder="1" applyAlignment="1">
      <alignment horizontal="center" vertical="center" wrapText="1"/>
    </xf>
    <xf numFmtId="0" fontId="8" fillId="0" borderId="0" xfId="0" applyFont="1" applyAlignment="1">
      <alignment/>
    </xf>
    <xf numFmtId="21" fontId="8" fillId="0" borderId="7" xfId="0" applyNumberFormat="1" applyFont="1" applyBorder="1" applyAlignment="1">
      <alignment/>
    </xf>
    <xf numFmtId="0" fontId="8" fillId="0" borderId="7" xfId="0" applyFont="1" applyBorder="1" applyAlignment="1">
      <alignment/>
    </xf>
    <xf numFmtId="0" fontId="19" fillId="0" borderId="7" xfId="0" applyFont="1" applyBorder="1" applyAlignment="1">
      <alignment vertical="top"/>
    </xf>
    <xf numFmtId="15" fontId="19" fillId="0" borderId="7" xfId="0" applyNumberFormat="1" applyFont="1" applyBorder="1" applyAlignment="1">
      <alignment vertical="top"/>
    </xf>
    <xf numFmtId="15" fontId="8" fillId="0" borderId="7" xfId="0" applyNumberFormat="1" applyFont="1" applyBorder="1" applyAlignment="1">
      <alignment/>
    </xf>
    <xf numFmtId="21" fontId="8" fillId="0" borderId="7" xfId="0" applyNumberFormat="1" applyFont="1" applyFill="1" applyBorder="1" applyAlignment="1">
      <alignment/>
    </xf>
    <xf numFmtId="0" fontId="11" fillId="4" borderId="0" xfId="0" applyFont="1" applyFill="1" applyAlignment="1">
      <alignment horizontal="center" vertical="center"/>
    </xf>
    <xf numFmtId="0" fontId="0" fillId="7" borderId="25" xfId="0" applyFill="1" applyBorder="1" applyAlignment="1">
      <alignment/>
    </xf>
    <xf numFmtId="2" fontId="0" fillId="7" borderId="26" xfId="21" applyNumberFormat="1" applyFill="1" applyBorder="1" applyAlignment="1">
      <alignment/>
    </xf>
    <xf numFmtId="2" fontId="0" fillId="2" borderId="26" xfId="21" applyNumberFormat="1" applyFill="1" applyBorder="1" applyAlignment="1">
      <alignment/>
    </xf>
    <xf numFmtId="17" fontId="0" fillId="9" borderId="16" xfId="0" applyNumberFormat="1" applyFill="1" applyBorder="1" applyAlignment="1">
      <alignment horizontal="center" wrapText="1"/>
    </xf>
    <xf numFmtId="0" fontId="0" fillId="9" borderId="15" xfId="0" applyFill="1" applyBorder="1" applyAlignment="1">
      <alignment horizontal="center" wrapText="1"/>
    </xf>
    <xf numFmtId="0" fontId="0" fillId="7" borderId="18" xfId="0" applyFill="1" applyBorder="1" applyAlignment="1">
      <alignment horizontal="center"/>
    </xf>
    <xf numFmtId="0" fontId="12" fillId="7" borderId="27" xfId="0" applyFont="1" applyFill="1" applyBorder="1" applyAlignment="1">
      <alignment/>
    </xf>
    <xf numFmtId="17" fontId="0" fillId="12" borderId="11" xfId="0" applyNumberFormat="1" applyFont="1" applyFill="1" applyBorder="1" applyAlignment="1">
      <alignment horizontal="center" wrapText="1"/>
    </xf>
    <xf numFmtId="0" fontId="0" fillId="2" borderId="18" xfId="0" applyFill="1" applyBorder="1" applyAlignment="1">
      <alignment horizontal="center"/>
    </xf>
    <xf numFmtId="0" fontId="10" fillId="2" borderId="27" xfId="0" applyFont="1" applyFill="1" applyBorder="1" applyAlignment="1">
      <alignment/>
    </xf>
    <xf numFmtId="2" fontId="0" fillId="2" borderId="17" xfId="21" applyNumberFormat="1" applyFill="1" applyBorder="1" applyAlignment="1">
      <alignment/>
    </xf>
    <xf numFmtId="0" fontId="0" fillId="2" borderId="11" xfId="0" applyFill="1" applyBorder="1" applyAlignment="1">
      <alignment horizontal="center"/>
    </xf>
    <xf numFmtId="0" fontId="10" fillId="2" borderId="12" xfId="0" applyFont="1" applyFill="1" applyBorder="1" applyAlignment="1">
      <alignment/>
    </xf>
    <xf numFmtId="17" fontId="0" fillId="12" borderId="11" xfId="0" applyNumberFormat="1" applyFill="1" applyBorder="1" applyAlignment="1">
      <alignment horizontal="center" wrapText="1"/>
    </xf>
    <xf numFmtId="0" fontId="0" fillId="7" borderId="11" xfId="0" applyFill="1" applyBorder="1" applyAlignment="1">
      <alignment/>
    </xf>
    <xf numFmtId="2" fontId="0" fillId="0" borderId="7" xfId="0" applyNumberFormat="1" applyBorder="1" applyAlignment="1">
      <alignment/>
    </xf>
    <xf numFmtId="0" fontId="8" fillId="8" borderId="7" xfId="0" applyFont="1" applyFill="1" applyBorder="1" applyAlignment="1">
      <alignment/>
    </xf>
    <xf numFmtId="2" fontId="8" fillId="8" borderId="7" xfId="0" applyNumberFormat="1" applyFont="1" applyFill="1" applyBorder="1" applyAlignment="1">
      <alignment/>
    </xf>
    <xf numFmtId="2" fontId="7" fillId="8" borderId="15" xfId="0" applyNumberFormat="1" applyFont="1" applyFill="1" applyBorder="1" applyAlignment="1">
      <alignment/>
    </xf>
    <xf numFmtId="0" fontId="7" fillId="2" borderId="7" xfId="0" applyFont="1" applyFill="1" applyBorder="1" applyAlignment="1">
      <alignment/>
    </xf>
    <xf numFmtId="0" fontId="7" fillId="2" borderId="15" xfId="0" applyFont="1" applyFill="1" applyBorder="1" applyAlignment="1">
      <alignment/>
    </xf>
    <xf numFmtId="2" fontId="7" fillId="8" borderId="7" xfId="0" applyNumberFormat="1" applyFont="1" applyFill="1" applyBorder="1" applyAlignment="1">
      <alignment/>
    </xf>
    <xf numFmtId="0" fontId="0" fillId="13" borderId="0" xfId="0" applyFill="1" applyAlignment="1">
      <alignment/>
    </xf>
    <xf numFmtId="0" fontId="0" fillId="13" borderId="7" xfId="0" applyFill="1" applyBorder="1" applyAlignment="1">
      <alignment/>
    </xf>
    <xf numFmtId="0" fontId="0" fillId="13" borderId="0" xfId="0" applyFill="1" applyAlignment="1">
      <alignment wrapText="1"/>
    </xf>
    <xf numFmtId="0" fontId="0" fillId="10" borderId="8" xfId="0" applyFont="1" applyFill="1" applyBorder="1" applyAlignment="1">
      <alignment horizontal="center" wrapText="1"/>
    </xf>
    <xf numFmtId="0" fontId="0" fillId="10" borderId="9" xfId="0" applyFont="1" applyFill="1" applyBorder="1" applyAlignment="1">
      <alignment horizontal="center" wrapText="1"/>
    </xf>
    <xf numFmtId="0" fontId="27" fillId="0" borderId="0" xfId="0" applyFont="1" applyAlignment="1">
      <alignment/>
    </xf>
    <xf numFmtId="0" fontId="8" fillId="0" borderId="28" xfId="0" applyFont="1" applyBorder="1" applyAlignment="1">
      <alignment/>
    </xf>
    <xf numFmtId="0" fontId="20" fillId="10" borderId="9" xfId="0" applyFont="1" applyFill="1" applyBorder="1" applyAlignment="1">
      <alignment horizontal="center" wrapText="1"/>
    </xf>
    <xf numFmtId="21" fontId="8" fillId="0" borderId="13" xfId="0" applyNumberFormat="1" applyFont="1" applyFill="1" applyBorder="1" applyAlignment="1">
      <alignment/>
    </xf>
    <xf numFmtId="2" fontId="8" fillId="0" borderId="0" xfId="0" applyNumberFormat="1" applyFont="1" applyAlignment="1">
      <alignment/>
    </xf>
    <xf numFmtId="0" fontId="20" fillId="8" borderId="9" xfId="0" applyFont="1" applyFill="1" applyBorder="1" applyAlignment="1">
      <alignment horizontal="center" wrapText="1"/>
    </xf>
    <xf numFmtId="0" fontId="20" fillId="9" borderId="9" xfId="0" applyFont="1" applyFill="1" applyBorder="1" applyAlignment="1">
      <alignment horizontal="center" wrapText="1"/>
    </xf>
    <xf numFmtId="0" fontId="20" fillId="9" borderId="27" xfId="0" applyFont="1" applyFill="1" applyBorder="1" applyAlignment="1">
      <alignment horizontal="center" wrapText="1"/>
    </xf>
    <xf numFmtId="0" fontId="8" fillId="0" borderId="29" xfId="0" applyFont="1" applyBorder="1" applyAlignment="1">
      <alignment/>
    </xf>
    <xf numFmtId="0" fontId="20" fillId="9" borderId="30" xfId="0" applyFont="1" applyFill="1" applyBorder="1" applyAlignment="1">
      <alignment horizontal="center" wrapText="1"/>
    </xf>
    <xf numFmtId="0" fontId="8" fillId="0" borderId="11" xfId="0" applyFont="1" applyBorder="1" applyAlignment="1">
      <alignment/>
    </xf>
    <xf numFmtId="0" fontId="8" fillId="0" borderId="12" xfId="0" applyFont="1" applyBorder="1" applyAlignment="1">
      <alignment/>
    </xf>
    <xf numFmtId="0" fontId="8" fillId="0" borderId="31" xfId="0" applyFont="1" applyBorder="1" applyAlignment="1">
      <alignment/>
    </xf>
    <xf numFmtId="0" fontId="8" fillId="0" borderId="32" xfId="0" applyFont="1" applyBorder="1" applyAlignment="1">
      <alignment/>
    </xf>
    <xf numFmtId="171" fontId="8" fillId="0" borderId="7" xfId="0" applyNumberFormat="1" applyFont="1" applyBorder="1" applyAlignment="1">
      <alignment/>
    </xf>
    <xf numFmtId="2" fontId="8" fillId="0" borderId="7" xfId="0" applyNumberFormat="1" applyFont="1" applyBorder="1" applyAlignment="1">
      <alignment/>
    </xf>
    <xf numFmtId="0" fontId="8" fillId="5" borderId="0" xfId="0" applyFont="1" applyFill="1" applyAlignment="1">
      <alignment/>
    </xf>
    <xf numFmtId="0" fontId="8" fillId="7" borderId="33" xfId="0" applyFont="1" applyFill="1" applyBorder="1" applyAlignment="1">
      <alignment/>
    </xf>
    <xf numFmtId="0" fontId="8" fillId="7" borderId="29" xfId="0" applyFont="1" applyFill="1" applyBorder="1" applyAlignment="1">
      <alignment/>
    </xf>
    <xf numFmtId="0" fontId="8" fillId="6" borderId="19" xfId="0" applyFont="1" applyFill="1" applyBorder="1" applyAlignment="1">
      <alignment/>
    </xf>
    <xf numFmtId="0" fontId="8" fillId="2" borderId="28" xfId="0" applyFont="1" applyFill="1" applyBorder="1" applyAlignment="1">
      <alignment/>
    </xf>
    <xf numFmtId="0" fontId="8" fillId="2" borderId="13" xfId="0" applyFont="1" applyFill="1" applyBorder="1" applyAlignment="1">
      <alignment/>
    </xf>
    <xf numFmtId="0" fontId="8" fillId="2" borderId="14" xfId="0" applyFont="1" applyFill="1" applyBorder="1" applyAlignment="1">
      <alignment/>
    </xf>
    <xf numFmtId="0" fontId="8" fillId="2" borderId="34" xfId="0" applyFont="1" applyFill="1" applyBorder="1" applyAlignment="1">
      <alignment/>
    </xf>
    <xf numFmtId="0" fontId="8" fillId="2" borderId="7" xfId="0" applyFont="1" applyFill="1" applyBorder="1" applyAlignment="1">
      <alignment/>
    </xf>
    <xf numFmtId="0" fontId="8" fillId="9" borderId="0" xfId="0" applyFont="1" applyFill="1" applyAlignment="1">
      <alignment/>
    </xf>
    <xf numFmtId="0" fontId="8" fillId="9" borderId="0" xfId="0" applyFont="1" applyFill="1" applyBorder="1" applyAlignment="1">
      <alignment/>
    </xf>
    <xf numFmtId="0" fontId="7" fillId="14" borderId="7" xfId="0" applyFont="1" applyFill="1" applyBorder="1" applyAlignment="1">
      <alignment/>
    </xf>
    <xf numFmtId="0" fontId="8" fillId="13" borderId="0" xfId="0" applyFont="1" applyFill="1" applyAlignment="1">
      <alignment/>
    </xf>
    <xf numFmtId="0" fontId="4" fillId="7" borderId="0" xfId="0" applyFont="1" applyFill="1" applyAlignment="1">
      <alignment/>
    </xf>
    <xf numFmtId="0" fontId="21" fillId="7" borderId="0" xfId="0" applyFont="1" applyFill="1" applyAlignment="1">
      <alignment horizontal="center" vertical="center"/>
    </xf>
    <xf numFmtId="0" fontId="22" fillId="7" borderId="0" xfId="0" applyFont="1" applyFill="1" applyAlignment="1">
      <alignment horizontal="center" vertical="center"/>
    </xf>
    <xf numFmtId="0" fontId="0" fillId="7" borderId="0" xfId="0" applyFill="1" applyBorder="1" applyAlignment="1">
      <alignment/>
    </xf>
    <xf numFmtId="0" fontId="8" fillId="7" borderId="35" xfId="0" applyFont="1" applyFill="1" applyBorder="1" applyAlignment="1">
      <alignment/>
    </xf>
    <xf numFmtId="0" fontId="7" fillId="10" borderId="7" xfId="0" applyFont="1" applyFill="1" applyBorder="1" applyAlignment="1">
      <alignment/>
    </xf>
    <xf numFmtId="21" fontId="8" fillId="8" borderId="34" xfId="0" applyNumberFormat="1" applyFont="1" applyFill="1" applyBorder="1" applyAlignment="1">
      <alignment/>
    </xf>
    <xf numFmtId="10" fontId="8" fillId="8" borderId="27" xfId="21" applyNumberFormat="1" applyFont="1" applyFill="1" applyBorder="1" applyAlignment="1">
      <alignment/>
    </xf>
    <xf numFmtId="21" fontId="0" fillId="8" borderId="36" xfId="0" applyNumberFormat="1" applyFill="1" applyBorder="1" applyAlignment="1">
      <alignment/>
    </xf>
    <xf numFmtId="21" fontId="0" fillId="8" borderId="8" xfId="0" applyNumberFormat="1" applyFill="1" applyBorder="1" applyAlignment="1">
      <alignment/>
    </xf>
    <xf numFmtId="21" fontId="0" fillId="8" borderId="7" xfId="0" applyNumberFormat="1" applyFill="1" applyBorder="1" applyAlignment="1">
      <alignment/>
    </xf>
    <xf numFmtId="21" fontId="0" fillId="8" borderId="9" xfId="0" applyNumberFormat="1" applyFill="1" applyBorder="1" applyAlignment="1">
      <alignment/>
    </xf>
    <xf numFmtId="21" fontId="0" fillId="8" borderId="14" xfId="0" applyNumberFormat="1" applyFill="1" applyBorder="1" applyAlignment="1">
      <alignment/>
    </xf>
    <xf numFmtId="21" fontId="0" fillId="8" borderId="18" xfId="0" applyNumberFormat="1" applyFill="1" applyBorder="1" applyAlignment="1">
      <alignment/>
    </xf>
    <xf numFmtId="21" fontId="0" fillId="8" borderId="27" xfId="0" applyNumberFormat="1" applyFill="1" applyBorder="1" applyAlignment="1">
      <alignment/>
    </xf>
    <xf numFmtId="0" fontId="7" fillId="11" borderId="22" xfId="0" applyFont="1" applyFill="1" applyBorder="1" applyAlignment="1">
      <alignment horizontal="center" vertical="center" wrapText="1"/>
    </xf>
    <xf numFmtId="0" fontId="7" fillId="11" borderId="23" xfId="0" applyFont="1" applyFill="1" applyBorder="1" applyAlignment="1">
      <alignment horizontal="center" vertical="center" wrapText="1"/>
    </xf>
    <xf numFmtId="0" fontId="7" fillId="11" borderId="24" xfId="0" applyFont="1" applyFill="1" applyBorder="1" applyAlignment="1">
      <alignment horizontal="center" vertical="center" wrapText="1"/>
    </xf>
    <xf numFmtId="0" fontId="0" fillId="0" borderId="37" xfId="0" applyBorder="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6" borderId="25" xfId="0" applyFill="1" applyBorder="1" applyAlignment="1">
      <alignment/>
    </xf>
    <xf numFmtId="21" fontId="0" fillId="7" borderId="0" xfId="0" applyNumberFormat="1" applyFill="1" applyBorder="1" applyAlignment="1">
      <alignment/>
    </xf>
    <xf numFmtId="2" fontId="0" fillId="7" borderId="0" xfId="0" applyNumberFormat="1" applyFill="1" applyBorder="1" applyAlignment="1">
      <alignment/>
    </xf>
    <xf numFmtId="2" fontId="0" fillId="12" borderId="36" xfId="0" applyNumberFormat="1" applyFill="1" applyBorder="1" applyAlignment="1">
      <alignment/>
    </xf>
    <xf numFmtId="0" fontId="7" fillId="2" borderId="7" xfId="0" applyFont="1" applyFill="1" applyBorder="1" applyAlignment="1">
      <alignment horizontal="center" vertical="center"/>
    </xf>
    <xf numFmtId="0" fontId="0" fillId="0" borderId="15" xfId="0" applyBorder="1" applyAlignment="1">
      <alignment/>
    </xf>
    <xf numFmtId="0" fontId="17" fillId="15" borderId="6" xfId="0" applyFont="1" applyFill="1" applyBorder="1" applyAlignment="1">
      <alignment horizontal="center" vertical="center"/>
    </xf>
    <xf numFmtId="0" fontId="17" fillId="15" borderId="38" xfId="0" applyFont="1" applyFill="1" applyBorder="1" applyAlignment="1">
      <alignment horizontal="center" vertical="center"/>
    </xf>
    <xf numFmtId="0" fontId="17" fillId="15" borderId="36" xfId="0" applyFont="1" applyFill="1" applyBorder="1" applyAlignment="1">
      <alignment horizontal="center" vertical="center" wrapText="1"/>
    </xf>
    <xf numFmtId="0" fontId="8" fillId="7" borderId="0" xfId="0" applyFont="1" applyFill="1" applyAlignment="1">
      <alignment/>
    </xf>
    <xf numFmtId="0" fontId="8" fillId="2" borderId="39" xfId="0" applyFont="1" applyFill="1" applyBorder="1" applyAlignment="1">
      <alignment/>
    </xf>
    <xf numFmtId="0" fontId="8" fillId="2" borderId="26" xfId="0" applyFont="1" applyFill="1" applyBorder="1" applyAlignment="1">
      <alignment/>
    </xf>
    <xf numFmtId="0" fontId="8" fillId="8" borderId="7" xfId="0" applyFont="1" applyFill="1" applyBorder="1" applyAlignment="1">
      <alignment horizontal="center"/>
    </xf>
    <xf numFmtId="21" fontId="8" fillId="8" borderId="7" xfId="0" applyNumberFormat="1" applyFont="1" applyFill="1" applyBorder="1" applyAlignment="1">
      <alignment horizontal="center"/>
    </xf>
    <xf numFmtId="2" fontId="8" fillId="8" borderId="7" xfId="0" applyNumberFormat="1" applyFont="1" applyFill="1" applyBorder="1" applyAlignment="1">
      <alignment horizontal="center"/>
    </xf>
    <xf numFmtId="0" fontId="8" fillId="2" borderId="40" xfId="0" applyFont="1" applyFill="1" applyBorder="1" applyAlignment="1">
      <alignment/>
    </xf>
    <xf numFmtId="0" fontId="8" fillId="8" borderId="8" xfId="0" applyFont="1" applyFill="1" applyBorder="1" applyAlignment="1">
      <alignment horizontal="center"/>
    </xf>
    <xf numFmtId="0" fontId="8" fillId="8" borderId="9" xfId="0" applyFont="1" applyFill="1" applyBorder="1" applyAlignment="1">
      <alignment horizontal="center"/>
    </xf>
    <xf numFmtId="0" fontId="8" fillId="8" borderId="14" xfId="0" applyFont="1" applyFill="1" applyBorder="1" applyAlignment="1">
      <alignment horizontal="center"/>
    </xf>
    <xf numFmtId="21" fontId="8" fillId="8" borderId="18" xfId="0" applyNumberFormat="1" applyFont="1" applyFill="1" applyBorder="1" applyAlignment="1">
      <alignment horizontal="center"/>
    </xf>
    <xf numFmtId="2" fontId="8" fillId="8" borderId="18" xfId="0" applyNumberFormat="1" applyFont="1" applyFill="1" applyBorder="1" applyAlignment="1">
      <alignment horizontal="center"/>
    </xf>
    <xf numFmtId="0" fontId="8" fillId="8" borderId="18" xfId="0" applyFont="1" applyFill="1" applyBorder="1" applyAlignment="1">
      <alignment horizontal="center"/>
    </xf>
    <xf numFmtId="0" fontId="8" fillId="8" borderId="27" xfId="0" applyFont="1" applyFill="1" applyBorder="1" applyAlignment="1">
      <alignment horizontal="center"/>
    </xf>
    <xf numFmtId="21" fontId="0" fillId="8" borderId="37" xfId="0" applyNumberFormat="1" applyFill="1" applyBorder="1" applyAlignment="1">
      <alignment/>
    </xf>
    <xf numFmtId="2" fontId="0" fillId="8" borderId="41" xfId="0" applyNumberFormat="1" applyFill="1" applyBorder="1" applyAlignment="1">
      <alignment/>
    </xf>
    <xf numFmtId="2" fontId="0" fillId="8" borderId="15" xfId="0" applyNumberFormat="1" applyFill="1" applyBorder="1" applyAlignment="1">
      <alignment/>
    </xf>
    <xf numFmtId="2" fontId="0" fillId="8" borderId="19" xfId="0" applyNumberFormat="1" applyFill="1" applyBorder="1" applyAlignment="1">
      <alignment/>
    </xf>
    <xf numFmtId="21" fontId="0" fillId="8" borderId="10" xfId="0" applyNumberFormat="1" applyFill="1" applyBorder="1" applyAlignment="1">
      <alignment/>
    </xf>
    <xf numFmtId="2" fontId="0" fillId="8" borderId="16" xfId="0" applyNumberFormat="1" applyFill="1" applyBorder="1" applyAlignment="1">
      <alignment/>
    </xf>
    <xf numFmtId="21" fontId="0" fillId="8" borderId="13" xfId="0" applyNumberFormat="1" applyFill="1" applyBorder="1" applyAlignment="1">
      <alignment/>
    </xf>
    <xf numFmtId="2" fontId="0" fillId="8" borderId="33" xfId="0" applyNumberFormat="1" applyFill="1" applyBorder="1" applyAlignment="1">
      <alignment/>
    </xf>
    <xf numFmtId="21" fontId="0" fillId="8" borderId="6" xfId="0" applyNumberFormat="1" applyFill="1" applyBorder="1" applyAlignment="1">
      <alignment/>
    </xf>
    <xf numFmtId="2" fontId="0" fillId="8" borderId="38" xfId="0" applyNumberFormat="1" applyFill="1" applyBorder="1" applyAlignment="1">
      <alignment/>
    </xf>
    <xf numFmtId="0" fontId="0" fillId="0" borderId="13" xfId="0" applyBorder="1" applyAlignment="1" applyProtection="1">
      <alignment/>
      <protection locked="0"/>
    </xf>
    <xf numFmtId="0" fontId="0" fillId="0" borderId="28" xfId="0" applyBorder="1" applyAlignment="1" applyProtection="1">
      <alignment/>
      <protection locked="0"/>
    </xf>
    <xf numFmtId="0" fontId="0" fillId="7" borderId="33" xfId="0" applyFill="1" applyBorder="1" applyAlignment="1" applyProtection="1">
      <alignment wrapText="1"/>
      <protection locked="0"/>
    </xf>
    <xf numFmtId="21" fontId="0" fillId="0" borderId="13" xfId="0" applyNumberFormat="1" applyFill="1" applyBorder="1" applyAlignment="1" applyProtection="1">
      <alignment/>
      <protection locked="0"/>
    </xf>
    <xf numFmtId="21" fontId="0" fillId="0" borderId="39" xfId="0" applyNumberFormat="1" applyFill="1" applyBorder="1" applyAlignment="1" applyProtection="1">
      <alignment/>
      <protection locked="0"/>
    </xf>
    <xf numFmtId="0" fontId="0" fillId="0" borderId="28" xfId="0" applyFill="1" applyBorder="1" applyAlignment="1" applyProtection="1">
      <alignment/>
      <protection locked="0"/>
    </xf>
    <xf numFmtId="0" fontId="0" fillId="0" borderId="34" xfId="0" applyFill="1" applyBorder="1" applyAlignment="1" applyProtection="1">
      <alignment/>
      <protection locked="0"/>
    </xf>
    <xf numFmtId="0" fontId="8" fillId="0" borderId="34" xfId="0" applyFont="1" applyBorder="1" applyAlignment="1" applyProtection="1">
      <alignment/>
      <protection locked="0"/>
    </xf>
    <xf numFmtId="0" fontId="0" fillId="13" borderId="42" xfId="0" applyFill="1" applyBorder="1" applyAlignment="1">
      <alignment/>
    </xf>
    <xf numFmtId="0" fontId="0" fillId="13" borderId="43" xfId="0" applyFill="1" applyBorder="1" applyAlignment="1">
      <alignment/>
    </xf>
    <xf numFmtId="0" fontId="0" fillId="13" borderId="43" xfId="0" applyFill="1" applyBorder="1" applyAlignment="1" applyProtection="1">
      <alignment/>
      <protection locked="0"/>
    </xf>
    <xf numFmtId="0" fontId="0" fillId="13" borderId="44" xfId="0" applyFill="1" applyBorder="1" applyAlignment="1">
      <alignment/>
    </xf>
    <xf numFmtId="0" fontId="0" fillId="13" borderId="45" xfId="0" applyFill="1" applyBorder="1" applyAlignment="1">
      <alignment/>
    </xf>
    <xf numFmtId="0" fontId="0" fillId="13" borderId="0" xfId="0" applyFill="1" applyBorder="1" applyAlignment="1">
      <alignment/>
    </xf>
    <xf numFmtId="0" fontId="0" fillId="13" borderId="46" xfId="0" applyFill="1" applyBorder="1" applyAlignment="1">
      <alignment/>
    </xf>
    <xf numFmtId="0" fontId="0" fillId="13" borderId="46" xfId="0" applyFill="1" applyBorder="1" applyAlignment="1" applyProtection="1">
      <alignment/>
      <protection locked="0"/>
    </xf>
    <xf numFmtId="0" fontId="5" fillId="0" borderId="32" xfId="0" applyFont="1" applyFill="1" applyBorder="1" applyAlignment="1" applyProtection="1">
      <alignment/>
      <protection locked="0"/>
    </xf>
    <xf numFmtId="21" fontId="8" fillId="0" borderId="32" xfId="0" applyNumberFormat="1" applyFont="1" applyFill="1" applyBorder="1" applyAlignment="1" applyProtection="1">
      <alignment/>
      <protection locked="0"/>
    </xf>
    <xf numFmtId="0" fontId="0" fillId="7" borderId="7" xfId="0" applyFill="1" applyBorder="1" applyAlignment="1" applyProtection="1">
      <alignment/>
      <protection locked="0"/>
    </xf>
    <xf numFmtId="0" fontId="0" fillId="0" borderId="11" xfId="0" applyBorder="1" applyAlignment="1">
      <alignment/>
    </xf>
    <xf numFmtId="21" fontId="0" fillId="0" borderId="7" xfId="0" applyNumberFormat="1" applyBorder="1" applyAlignment="1">
      <alignment/>
    </xf>
    <xf numFmtId="15" fontId="0" fillId="0" borderId="7" xfId="0" applyNumberFormat="1" applyBorder="1" applyAlignment="1">
      <alignment/>
    </xf>
    <xf numFmtId="0" fontId="8" fillId="0" borderId="7" xfId="0" applyFont="1" applyFill="1" applyBorder="1" applyAlignment="1" applyProtection="1">
      <alignment/>
      <protection locked="0"/>
    </xf>
    <xf numFmtId="21" fontId="16" fillId="0" borderId="7" xfId="0" applyNumberFormat="1" applyFont="1" applyFill="1" applyBorder="1" applyAlignment="1" applyProtection="1">
      <alignment/>
      <protection locked="0"/>
    </xf>
    <xf numFmtId="0" fontId="0" fillId="7" borderId="0" xfId="0" applyFont="1" applyFill="1" applyAlignment="1">
      <alignment/>
    </xf>
    <xf numFmtId="0" fontId="0" fillId="4" borderId="0" xfId="0" applyFill="1" applyAlignment="1">
      <alignment wrapText="1"/>
    </xf>
    <xf numFmtId="0" fontId="0" fillId="4" borderId="0" xfId="0" applyFont="1" applyFill="1" applyAlignment="1">
      <alignment/>
    </xf>
    <xf numFmtId="2" fontId="0" fillId="4" borderId="13" xfId="0" applyNumberFormat="1" applyFill="1" applyBorder="1" applyAlignment="1">
      <alignment/>
    </xf>
    <xf numFmtId="0" fontId="39" fillId="13" borderId="0" xfId="0" applyFont="1" applyFill="1" applyAlignment="1">
      <alignment/>
    </xf>
    <xf numFmtId="171" fontId="0" fillId="13" borderId="13" xfId="0" applyNumberFormat="1" applyFont="1" applyFill="1" applyBorder="1" applyAlignment="1">
      <alignment/>
    </xf>
    <xf numFmtId="0" fontId="0" fillId="13" borderId="0" xfId="0" applyFont="1" applyFill="1" applyAlignment="1">
      <alignment/>
    </xf>
    <xf numFmtId="0" fontId="0" fillId="7" borderId="0" xfId="0" applyFill="1" applyAlignment="1" applyProtection="1">
      <alignment/>
      <protection locked="0"/>
    </xf>
    <xf numFmtId="0" fontId="33" fillId="6" borderId="42" xfId="20" applyFill="1" applyBorder="1" applyAlignment="1">
      <alignment horizontal="center" vertical="center" wrapText="1"/>
    </xf>
    <xf numFmtId="0" fontId="33" fillId="6" borderId="44" xfId="20" applyFill="1" applyBorder="1" applyAlignment="1">
      <alignment horizontal="center" vertical="center" wrapText="1"/>
    </xf>
    <xf numFmtId="0" fontId="33" fillId="6" borderId="1" xfId="20" applyFill="1" applyBorder="1" applyAlignment="1">
      <alignment horizontal="center" vertical="center" wrapText="1"/>
    </xf>
    <xf numFmtId="0" fontId="33" fillId="6" borderId="3" xfId="20" applyFill="1" applyBorder="1" applyAlignment="1">
      <alignment horizontal="center" vertical="center" wrapText="1"/>
    </xf>
    <xf numFmtId="0" fontId="25" fillId="16" borderId="0" xfId="0" applyFont="1" applyFill="1" applyAlignment="1">
      <alignment horizontal="center" vertical="center"/>
    </xf>
    <xf numFmtId="0" fontId="26" fillId="16" borderId="0" xfId="0" applyFont="1" applyFill="1" applyAlignment="1">
      <alignment horizontal="center" vertical="center"/>
    </xf>
    <xf numFmtId="0" fontId="7" fillId="10" borderId="7" xfId="0" applyFont="1" applyFill="1" applyBorder="1" applyAlignment="1">
      <alignment/>
    </xf>
    <xf numFmtId="0" fontId="23" fillId="10" borderId="7" xfId="0" applyFont="1" applyFill="1" applyBorder="1" applyAlignment="1">
      <alignment horizontal="center" vertical="center" wrapText="1"/>
    </xf>
    <xf numFmtId="0" fontId="24" fillId="10" borderId="7" xfId="0" applyFont="1" applyFill="1" applyBorder="1" applyAlignment="1">
      <alignment horizontal="center" vertical="center" wrapText="1"/>
    </xf>
    <xf numFmtId="0" fontId="23" fillId="2" borderId="7" xfId="0" applyFont="1" applyFill="1" applyBorder="1" applyAlignment="1">
      <alignment horizontal="center" vertical="center" wrapText="1"/>
    </xf>
    <xf numFmtId="0" fontId="24" fillId="2" borderId="15" xfId="0" applyFont="1" applyFill="1" applyBorder="1" applyAlignment="1">
      <alignment horizontal="center" vertical="center" wrapText="1"/>
    </xf>
    <xf numFmtId="0" fontId="7" fillId="2" borderId="7" xfId="0" applyFont="1" applyFill="1" applyBorder="1" applyAlignment="1">
      <alignment wrapText="1"/>
    </xf>
    <xf numFmtId="0" fontId="7" fillId="10" borderId="7" xfId="0" applyFont="1" applyFill="1" applyBorder="1" applyAlignment="1">
      <alignment wrapText="1"/>
    </xf>
    <xf numFmtId="0" fontId="7" fillId="2" borderId="7" xfId="0" applyFont="1" applyFill="1" applyBorder="1" applyAlignment="1">
      <alignment horizontal="center"/>
    </xf>
    <xf numFmtId="0" fontId="7" fillId="2" borderId="15" xfId="0" applyFont="1" applyFill="1" applyBorder="1" applyAlignment="1">
      <alignment horizontal="center"/>
    </xf>
    <xf numFmtId="0" fontId="33" fillId="6" borderId="4" xfId="20" applyFill="1" applyBorder="1" applyAlignment="1">
      <alignment horizontal="center" vertical="center" wrapText="1"/>
    </xf>
    <xf numFmtId="0" fontId="33" fillId="0" borderId="5" xfId="20" applyBorder="1" applyAlignment="1">
      <alignment horizontal="center" vertical="center" wrapText="1"/>
    </xf>
    <xf numFmtId="0" fontId="1" fillId="11" borderId="4" xfId="0" applyFont="1" applyFill="1" applyBorder="1" applyAlignment="1">
      <alignment horizontal="center" vertical="top" wrapText="1"/>
    </xf>
    <xf numFmtId="0" fontId="1" fillId="11" borderId="5" xfId="0" applyFont="1" applyFill="1" applyBorder="1" applyAlignment="1">
      <alignment horizontal="center" vertical="top" wrapText="1"/>
    </xf>
    <xf numFmtId="0" fontId="0" fillId="4" borderId="0" xfId="0" applyFill="1" applyAlignment="1">
      <alignment wrapText="1"/>
    </xf>
    <xf numFmtId="0" fontId="9" fillId="4" borderId="0" xfId="0" applyFont="1" applyFill="1" applyAlignment="1">
      <alignment wrapText="1"/>
    </xf>
    <xf numFmtId="0" fontId="7" fillId="7" borderId="2" xfId="0" applyFont="1" applyFill="1" applyBorder="1" applyAlignment="1">
      <alignment horizontal="center" vertical="center" wrapText="1"/>
    </xf>
    <xf numFmtId="0" fontId="8" fillId="7" borderId="2" xfId="0" applyFont="1" applyFill="1" applyBorder="1" applyAlignment="1">
      <alignment horizontal="center" vertical="center" wrapText="1"/>
    </xf>
    <xf numFmtId="0" fontId="9" fillId="13" borderId="7" xfId="0" applyFont="1" applyFill="1" applyBorder="1" applyAlignment="1">
      <alignment wrapText="1"/>
    </xf>
    <xf numFmtId="0" fontId="9" fillId="13" borderId="0" xfId="0" applyFont="1" applyFill="1" applyAlignment="1">
      <alignment wrapText="1"/>
    </xf>
    <xf numFmtId="0" fontId="0" fillId="13" borderId="0" xfId="0" applyFill="1" applyAlignment="1">
      <alignment/>
    </xf>
    <xf numFmtId="0" fontId="0" fillId="12" borderId="7" xfId="0" applyFill="1" applyBorder="1" applyAlignment="1">
      <alignment horizontal="center" vertical="center" wrapText="1"/>
    </xf>
    <xf numFmtId="0" fontId="0" fillId="0" borderId="7" xfId="0" applyBorder="1" applyAlignment="1">
      <alignment horizontal="center" vertical="center" wrapText="1"/>
    </xf>
    <xf numFmtId="0" fontId="0" fillId="0" borderId="15" xfId="0" applyFont="1" applyBorder="1" applyAlignment="1">
      <alignment horizontal="center" vertical="center" wrapText="1"/>
    </xf>
    <xf numFmtId="0" fontId="0" fillId="0" borderId="21" xfId="0" applyBorder="1" applyAlignment="1">
      <alignment horizontal="center" vertical="center" wrapText="1"/>
    </xf>
    <xf numFmtId="0" fontId="0" fillId="0" borderId="47" xfId="0" applyBorder="1" applyAlignment="1">
      <alignment horizontal="center" vertical="center" wrapText="1"/>
    </xf>
    <xf numFmtId="0" fontId="9" fillId="0" borderId="0" xfId="0" applyFont="1" applyFill="1" applyAlignment="1">
      <alignment wrapText="1"/>
    </xf>
    <xf numFmtId="0" fontId="9" fillId="0" borderId="0" xfId="0" applyFont="1" applyFill="1" applyBorder="1" applyAlignment="1">
      <alignment wrapText="1"/>
    </xf>
    <xf numFmtId="0" fontId="0" fillId="0" borderId="48" xfId="0" applyBorder="1" applyAlignment="1">
      <alignment wrapText="1"/>
    </xf>
    <xf numFmtId="0" fontId="9" fillId="13" borderId="0" xfId="0" applyFont="1" applyFill="1" applyAlignment="1">
      <alignment wrapText="1"/>
    </xf>
    <xf numFmtId="0" fontId="0" fillId="13" borderId="49" xfId="0" applyFill="1" applyBorder="1" applyAlignment="1">
      <alignment wrapText="1"/>
    </xf>
    <xf numFmtId="0" fontId="0" fillId="0" borderId="7" xfId="0" applyBorder="1" applyAlignment="1">
      <alignment/>
    </xf>
    <xf numFmtId="0" fontId="27" fillId="13" borderId="0" xfId="0" applyFont="1" applyFill="1" applyAlignment="1">
      <alignment wrapText="1"/>
    </xf>
    <xf numFmtId="0" fontId="0" fillId="0" borderId="0" xfId="0" applyAlignment="1">
      <alignment wrapText="1"/>
    </xf>
    <xf numFmtId="0" fontId="8" fillId="7" borderId="45" xfId="0" applyFont="1" applyFill="1" applyBorder="1" applyAlignment="1">
      <alignment horizontal="center" vertical="center" wrapText="1"/>
    </xf>
    <xf numFmtId="0" fontId="8" fillId="7" borderId="46"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3" xfId="0" applyFont="1" applyFill="1" applyBorder="1" applyAlignment="1">
      <alignment horizontal="center" vertical="center" wrapText="1"/>
    </xf>
    <xf numFmtId="0" fontId="37" fillId="16" borderId="0" xfId="0" applyFont="1" applyFill="1" applyAlignment="1">
      <alignment horizontal="center" vertical="center"/>
    </xf>
    <xf numFmtId="0" fontId="13" fillId="7" borderId="42" xfId="0" applyFont="1" applyFill="1" applyBorder="1" applyAlignment="1">
      <alignment horizontal="center" vertical="center" wrapText="1"/>
    </xf>
    <xf numFmtId="0" fontId="13" fillId="7" borderId="44" xfId="0" applyFont="1" applyFill="1" applyBorder="1" applyAlignment="1">
      <alignment horizontal="center" vertical="center" wrapText="1"/>
    </xf>
    <xf numFmtId="0" fontId="0" fillId="10" borderId="13" xfId="0" applyFill="1" applyBorder="1" applyAlignment="1">
      <alignment horizontal="center" wrapText="1"/>
    </xf>
    <xf numFmtId="0" fontId="0" fillId="10" borderId="28" xfId="0" applyFill="1" applyBorder="1" applyAlignment="1">
      <alignment horizontal="center" wrapText="1"/>
    </xf>
    <xf numFmtId="0" fontId="0" fillId="10" borderId="34" xfId="0" applyFill="1" applyBorder="1" applyAlignment="1">
      <alignment horizontal="center" wrapText="1"/>
    </xf>
    <xf numFmtId="0" fontId="0" fillId="8" borderId="13" xfId="0" applyFill="1" applyBorder="1" applyAlignment="1">
      <alignment horizontal="center" wrapText="1"/>
    </xf>
    <xf numFmtId="0" fontId="0" fillId="8" borderId="28" xfId="0" applyFill="1" applyBorder="1" applyAlignment="1">
      <alignment horizontal="center" wrapText="1"/>
    </xf>
    <xf numFmtId="0" fontId="0" fillId="8" borderId="33" xfId="0" applyFill="1" applyBorder="1" applyAlignment="1">
      <alignment horizontal="center" wrapText="1"/>
    </xf>
    <xf numFmtId="0" fontId="0" fillId="9" borderId="13" xfId="0" applyFill="1" applyBorder="1" applyAlignment="1">
      <alignment horizontal="center" wrapText="1"/>
    </xf>
    <xf numFmtId="0" fontId="0" fillId="9" borderId="28" xfId="0" applyFill="1" applyBorder="1" applyAlignment="1">
      <alignment horizontal="center" wrapText="1"/>
    </xf>
    <xf numFmtId="0" fontId="0" fillId="9" borderId="33" xfId="0" applyFill="1" applyBorder="1" applyAlignment="1">
      <alignment horizontal="center" wrapText="1"/>
    </xf>
    <xf numFmtId="0" fontId="0" fillId="4" borderId="0" xfId="0" applyFont="1" applyFill="1" applyAlignment="1">
      <alignment wrapText="1"/>
    </xf>
    <xf numFmtId="0" fontId="9" fillId="13" borderId="15" xfId="0" applyFont="1" applyFill="1" applyBorder="1" applyAlignment="1">
      <alignment wrapText="1"/>
    </xf>
    <xf numFmtId="0" fontId="9" fillId="13" borderId="47" xfId="0" applyFont="1" applyFill="1" applyBorder="1" applyAlignment="1">
      <alignment wrapText="1"/>
    </xf>
    <xf numFmtId="0" fontId="0" fillId="0" borderId="15" xfId="0" applyBorder="1" applyAlignment="1">
      <alignment horizontal="center" vertical="center" wrapText="1"/>
    </xf>
    <xf numFmtId="0" fontId="0" fillId="0" borderId="0" xfId="0" applyFont="1" applyAlignment="1">
      <alignment wrapText="1"/>
    </xf>
    <xf numFmtId="0" fontId="8" fillId="2" borderId="45" xfId="0" applyFont="1" applyFill="1" applyBorder="1" applyAlignment="1">
      <alignment horizontal="center" vertical="center" wrapText="1"/>
    </xf>
    <xf numFmtId="0" fontId="8" fillId="2" borderId="46"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37" fillId="16" borderId="0" xfId="0" applyFont="1" applyFill="1" applyAlignment="1">
      <alignment horizontal="center" vertical="center" wrapText="1"/>
    </xf>
    <xf numFmtId="0" fontId="13" fillId="2" borderId="42"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8" borderId="34" xfId="0" applyFill="1" applyBorder="1" applyAlignment="1">
      <alignment horizontal="center" wrapText="1"/>
    </xf>
    <xf numFmtId="0" fontId="11" fillId="16" borderId="0" xfId="0" applyFont="1" applyFill="1" applyAlignment="1">
      <alignment horizontal="center" vertical="center"/>
    </xf>
    <xf numFmtId="0" fontId="0" fillId="0" borderId="1" xfId="0" applyBorder="1" applyAlignment="1">
      <alignment wrapText="1"/>
    </xf>
    <xf numFmtId="0" fontId="0" fillId="0" borderId="3" xfId="0" applyBorder="1" applyAlignment="1">
      <alignment wrapText="1"/>
    </xf>
    <xf numFmtId="0" fontId="17" fillId="15" borderId="8" xfId="0" applyFont="1" applyFill="1" applyBorder="1" applyAlignment="1">
      <alignment horizontal="center" vertical="center" wrapText="1"/>
    </xf>
    <xf numFmtId="0" fontId="17" fillId="0" borderId="9" xfId="0" applyFont="1" applyBorder="1" applyAlignment="1">
      <alignment horizontal="center" vertical="center" wrapText="1"/>
    </xf>
    <xf numFmtId="2" fontId="0" fillId="8" borderId="47" xfId="0" applyNumberFormat="1" applyFill="1" applyBorder="1" applyAlignment="1">
      <alignment horizontal="center" vertical="center" wrapText="1"/>
    </xf>
    <xf numFmtId="2" fontId="0" fillId="8" borderId="7" xfId="0" applyNumberFormat="1" applyFill="1" applyBorder="1" applyAlignment="1">
      <alignment horizontal="center" vertical="center" wrapText="1"/>
    </xf>
    <xf numFmtId="2" fontId="0" fillId="8" borderId="9" xfId="0" applyNumberFormat="1" applyFill="1" applyBorder="1" applyAlignment="1">
      <alignment horizontal="center" vertical="center" wrapText="1"/>
    </xf>
    <xf numFmtId="0" fontId="17" fillId="15" borderId="13" xfId="0" applyFont="1" applyFill="1" applyBorder="1" applyAlignment="1">
      <alignment horizontal="center" vertical="center" wrapText="1"/>
    </xf>
    <xf numFmtId="0" fontId="17" fillId="0" borderId="34" xfId="0" applyFont="1" applyBorder="1" applyAlignment="1">
      <alignment horizontal="center" vertical="center" wrapText="1"/>
    </xf>
    <xf numFmtId="0" fontId="0" fillId="8" borderId="50" xfId="0" applyFill="1" applyBorder="1" applyAlignment="1">
      <alignment horizontal="center" vertical="center" wrapText="1"/>
    </xf>
    <xf numFmtId="0" fontId="0" fillId="8" borderId="28" xfId="0" applyFill="1" applyBorder="1" applyAlignment="1">
      <alignment horizontal="center" vertical="center" wrapText="1"/>
    </xf>
    <xf numFmtId="0" fontId="0" fillId="8" borderId="34" xfId="0" applyFill="1" applyBorder="1" applyAlignment="1">
      <alignment horizontal="center" vertical="center" wrapText="1"/>
    </xf>
    <xf numFmtId="0" fontId="0" fillId="8" borderId="47" xfId="0" applyFill="1" applyBorder="1" applyAlignment="1">
      <alignment horizontal="center" vertical="center" wrapText="1"/>
    </xf>
    <xf numFmtId="0" fontId="0" fillId="8" borderId="7" xfId="0" applyFill="1" applyBorder="1" applyAlignment="1">
      <alignment horizontal="center" vertical="center" wrapText="1"/>
    </xf>
    <xf numFmtId="0" fontId="0" fillId="8" borderId="9" xfId="0" applyFill="1" applyBorder="1" applyAlignment="1">
      <alignment horizontal="center" vertical="center" wrapText="1"/>
    </xf>
    <xf numFmtId="0" fontId="17" fillId="15" borderId="4" xfId="0" applyFont="1" applyFill="1" applyBorder="1" applyAlignment="1">
      <alignment horizontal="center" vertical="center" wrapText="1"/>
    </xf>
    <xf numFmtId="0" fontId="17" fillId="0" borderId="5" xfId="0" applyFont="1" applyBorder="1" applyAlignment="1">
      <alignment horizontal="center" vertical="center" wrapText="1"/>
    </xf>
    <xf numFmtId="0" fontId="3" fillId="2" borderId="4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46"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3" fillId="9" borderId="39" xfId="0" applyFont="1" applyFill="1" applyBorder="1" applyAlignment="1">
      <alignment horizontal="center" wrapText="1"/>
    </xf>
    <xf numFmtId="0" fontId="23" fillId="9" borderId="20" xfId="0" applyFont="1" applyFill="1" applyBorder="1" applyAlignment="1">
      <alignment wrapText="1"/>
    </xf>
    <xf numFmtId="0" fontId="24" fillId="0" borderId="20" xfId="0" applyFont="1" applyBorder="1" applyAlignment="1">
      <alignment wrapText="1"/>
    </xf>
    <xf numFmtId="0" fontId="24" fillId="0" borderId="51" xfId="0" applyFont="1" applyBorder="1" applyAlignment="1">
      <alignment wrapText="1"/>
    </xf>
    <xf numFmtId="0" fontId="20" fillId="10" borderId="14" xfId="0" applyFont="1" applyFill="1" applyBorder="1" applyAlignment="1">
      <alignment horizontal="center" wrapText="1"/>
    </xf>
    <xf numFmtId="0" fontId="20" fillId="0" borderId="27" xfId="0" applyFont="1" applyBorder="1" applyAlignment="1">
      <alignment wrapText="1"/>
    </xf>
    <xf numFmtId="0" fontId="20" fillId="8" borderId="37" xfId="0" applyFont="1" applyFill="1" applyBorder="1" applyAlignment="1">
      <alignment horizontal="center" wrapText="1"/>
    </xf>
    <xf numFmtId="0" fontId="20" fillId="8" borderId="52" xfId="0" applyFont="1" applyFill="1" applyBorder="1" applyAlignment="1">
      <alignment wrapText="1"/>
    </xf>
    <xf numFmtId="0" fontId="20" fillId="8" borderId="8" xfId="0" applyFont="1" applyFill="1" applyBorder="1" applyAlignment="1">
      <alignment horizontal="center" wrapText="1"/>
    </xf>
    <xf numFmtId="0" fontId="20" fillId="8" borderId="9" xfId="0" applyFont="1" applyFill="1" applyBorder="1" applyAlignment="1">
      <alignment wrapText="1"/>
    </xf>
    <xf numFmtId="0" fontId="20" fillId="10" borderId="37" xfId="0" applyFont="1" applyFill="1" applyBorder="1" applyAlignment="1">
      <alignment horizontal="center" wrapText="1"/>
    </xf>
    <xf numFmtId="0" fontId="20" fillId="0" borderId="52" xfId="0" applyFont="1" applyBorder="1" applyAlignment="1">
      <alignment wrapText="1"/>
    </xf>
    <xf numFmtId="0" fontId="20" fillId="10" borderId="8" xfId="0" applyFont="1" applyFill="1" applyBorder="1" applyAlignment="1">
      <alignment horizontal="center" wrapText="1"/>
    </xf>
    <xf numFmtId="0" fontId="20" fillId="0" borderId="9" xfId="0" applyFont="1" applyBorder="1" applyAlignment="1">
      <alignment wrapText="1"/>
    </xf>
    <xf numFmtId="0" fontId="18" fillId="12" borderId="6" xfId="0" applyFont="1" applyFill="1" applyBorder="1" applyAlignment="1">
      <alignment horizontal="center" wrapText="1"/>
    </xf>
    <xf numFmtId="0" fontId="18" fillId="12" borderId="32" xfId="0" applyFont="1" applyFill="1" applyBorder="1" applyAlignment="1">
      <alignment wrapText="1"/>
    </xf>
    <xf numFmtId="0" fontId="20" fillId="12" borderId="14" xfId="0" applyFont="1" applyFill="1" applyBorder="1" applyAlignment="1">
      <alignment horizontal="center" wrapText="1"/>
    </xf>
    <xf numFmtId="0" fontId="20" fillId="12" borderId="27" xfId="0" applyFont="1" applyFill="1" applyBorder="1" applyAlignment="1">
      <alignment wrapText="1"/>
    </xf>
    <xf numFmtId="0" fontId="9" fillId="0" borderId="43" xfId="0" applyFont="1" applyBorder="1" applyAlignment="1">
      <alignment wrapText="1"/>
    </xf>
    <xf numFmtId="0" fontId="0" fillId="0" borderId="44" xfId="0" applyBorder="1" applyAlignment="1">
      <alignment wrapText="1"/>
    </xf>
    <xf numFmtId="0" fontId="9" fillId="0" borderId="0" xfId="0" applyFont="1" applyBorder="1" applyAlignment="1">
      <alignment wrapText="1"/>
    </xf>
    <xf numFmtId="0" fontId="0" fillId="0" borderId="46" xfId="0" applyBorder="1" applyAlignment="1">
      <alignment wrapText="1"/>
    </xf>
    <xf numFmtId="0" fontId="9" fillId="0" borderId="2" xfId="0" applyFont="1" applyBorder="1" applyAlignment="1">
      <alignment wrapText="1"/>
    </xf>
    <xf numFmtId="0" fontId="20" fillId="8" borderId="10" xfId="0" applyFont="1" applyFill="1" applyBorder="1" applyAlignment="1">
      <alignment horizontal="center" wrapText="1"/>
    </xf>
    <xf numFmtId="0" fontId="20" fillId="8" borderId="12" xfId="0" applyFont="1" applyFill="1" applyBorder="1" applyAlignment="1">
      <alignment wrapText="1"/>
    </xf>
    <xf numFmtId="0" fontId="20" fillId="9" borderId="13" xfId="0" applyFont="1" applyFill="1" applyBorder="1" applyAlignment="1">
      <alignment horizontal="center" wrapText="1"/>
    </xf>
    <xf numFmtId="0" fontId="20" fillId="9" borderId="34" xfId="0" applyFont="1" applyFill="1" applyBorder="1" applyAlignment="1">
      <alignment wrapText="1"/>
    </xf>
    <xf numFmtId="0" fontId="9" fillId="0" borderId="11" xfId="0" applyFont="1" applyBorder="1" applyAlignment="1">
      <alignment wrapText="1"/>
    </xf>
    <xf numFmtId="0" fontId="9" fillId="0" borderId="53" xfId="0" applyFont="1" applyBorder="1" applyAlignment="1">
      <alignment wrapText="1"/>
    </xf>
    <xf numFmtId="2" fontId="0" fillId="10" borderId="54" xfId="0" applyNumberFormat="1" applyFill="1" applyBorder="1" applyAlignment="1">
      <alignment horizontal="center" vertical="center" wrapText="1"/>
    </xf>
    <xf numFmtId="2" fontId="0" fillId="10" borderId="55" xfId="0" applyNumberFormat="1" applyFill="1" applyBorder="1" applyAlignment="1">
      <alignment horizontal="center" vertical="center" wrapText="1"/>
    </xf>
    <xf numFmtId="2" fontId="0" fillId="8" borderId="54" xfId="0" applyNumberFormat="1" applyFill="1" applyBorder="1" applyAlignment="1">
      <alignment horizontal="center" vertical="center" wrapText="1"/>
    </xf>
    <xf numFmtId="2" fontId="0" fillId="9" borderId="56" xfId="0" applyNumberFormat="1" applyFill="1" applyBorder="1" applyAlignment="1">
      <alignment horizontal="center" vertical="center" wrapText="1"/>
    </xf>
    <xf numFmtId="2" fontId="0" fillId="9" borderId="54" xfId="0" applyNumberFormat="1" applyFill="1" applyBorder="1" applyAlignment="1">
      <alignment horizontal="center" vertical="center" wrapText="1"/>
    </xf>
    <xf numFmtId="2" fontId="0" fillId="9" borderId="55" xfId="0" applyNumberFormat="1" applyFill="1" applyBorder="1" applyAlignment="1">
      <alignment horizontal="center" vertical="center" wrapText="1"/>
    </xf>
    <xf numFmtId="0" fontId="20" fillId="9" borderId="8" xfId="0" applyFont="1" applyFill="1" applyBorder="1" applyAlignment="1">
      <alignment horizontal="center" wrapText="1"/>
    </xf>
    <xf numFmtId="0" fontId="20" fillId="9" borderId="9" xfId="0" applyFont="1" applyFill="1" applyBorder="1" applyAlignment="1">
      <alignment wrapText="1"/>
    </xf>
    <xf numFmtId="0" fontId="20" fillId="9" borderId="14" xfId="0" applyFont="1" applyFill="1" applyBorder="1" applyAlignment="1">
      <alignment horizontal="center" wrapText="1"/>
    </xf>
    <xf numFmtId="0" fontId="20" fillId="9" borderId="27" xfId="0" applyFont="1" applyFill="1" applyBorder="1" applyAlignment="1">
      <alignment wrapText="1"/>
    </xf>
    <xf numFmtId="2" fontId="1" fillId="8" borderId="47" xfId="0" applyNumberFormat="1" applyFont="1" applyFill="1" applyBorder="1" applyAlignment="1">
      <alignment horizontal="center" vertical="center" wrapText="1"/>
    </xf>
    <xf numFmtId="2" fontId="1" fillId="8" borderId="7" xfId="0" applyNumberFormat="1" applyFont="1" applyFill="1" applyBorder="1" applyAlignment="1">
      <alignment horizontal="center" vertical="center" wrapText="1"/>
    </xf>
    <xf numFmtId="2" fontId="1" fillId="8" borderId="9" xfId="0" applyNumberFormat="1" applyFont="1" applyFill="1" applyBorder="1" applyAlignment="1">
      <alignment horizontal="center" vertical="center" wrapText="1"/>
    </xf>
    <xf numFmtId="0" fontId="17" fillId="15" borderId="14" xfId="0" applyFont="1" applyFill="1" applyBorder="1" applyAlignment="1">
      <alignment horizontal="center" vertical="center" wrapText="1"/>
    </xf>
    <xf numFmtId="0" fontId="17" fillId="0" borderId="27" xfId="0" applyFont="1" applyBorder="1" applyAlignment="1">
      <alignment horizontal="center" vertical="center" wrapText="1"/>
    </xf>
    <xf numFmtId="2" fontId="0" fillId="8" borderId="57" xfId="0" applyNumberFormat="1" applyFill="1" applyBorder="1" applyAlignment="1">
      <alignment horizontal="center" vertical="center" wrapText="1"/>
    </xf>
    <xf numFmtId="2" fontId="0" fillId="8" borderId="18" xfId="0" applyNumberFormat="1" applyFill="1" applyBorder="1" applyAlignment="1">
      <alignment horizontal="center" vertical="center" wrapText="1"/>
    </xf>
    <xf numFmtId="2" fontId="0" fillId="8" borderId="27" xfId="0" applyNumberFormat="1" applyFill="1" applyBorder="1" applyAlignment="1">
      <alignment horizontal="center" vertical="center" wrapText="1"/>
    </xf>
    <xf numFmtId="0" fontId="3" fillId="11" borderId="22" xfId="0" applyFont="1" applyFill="1" applyBorder="1" applyAlignment="1">
      <alignment horizontal="center" vertical="center" wrapText="1"/>
    </xf>
    <xf numFmtId="0" fontId="0" fillId="11" borderId="23" xfId="0" applyFont="1" applyFill="1" applyBorder="1" applyAlignment="1">
      <alignment horizontal="center" vertical="center" wrapText="1"/>
    </xf>
    <xf numFmtId="0" fontId="0" fillId="11" borderId="24" xfId="0" applyFill="1" applyBorder="1" applyAlignment="1">
      <alignment wrapText="1"/>
    </xf>
    <xf numFmtId="0" fontId="21" fillId="16" borderId="0" xfId="0" applyFont="1" applyFill="1" applyAlignment="1">
      <alignment horizontal="center" vertical="center"/>
    </xf>
    <xf numFmtId="0" fontId="22" fillId="16" borderId="0" xfId="0" applyFont="1" applyFill="1" applyAlignment="1">
      <alignment horizontal="center" vertical="center"/>
    </xf>
    <xf numFmtId="0" fontId="9" fillId="0" borderId="7" xfId="0" applyFont="1" applyBorder="1" applyAlignment="1">
      <alignment wrapText="1"/>
    </xf>
    <xf numFmtId="0" fontId="7" fillId="11" borderId="13" xfId="0" applyFont="1" applyFill="1" applyBorder="1" applyAlignment="1">
      <alignment wrapText="1"/>
    </xf>
    <xf numFmtId="0" fontId="7" fillId="11" borderId="28" xfId="0" applyFont="1" applyFill="1" applyBorder="1" applyAlignment="1">
      <alignment wrapText="1"/>
    </xf>
    <xf numFmtId="0" fontId="7" fillId="11" borderId="14" xfId="0" applyFont="1" applyFill="1" applyBorder="1" applyAlignment="1">
      <alignment wrapText="1"/>
    </xf>
    <xf numFmtId="0" fontId="7" fillId="11" borderId="18" xfId="0" applyFont="1" applyFill="1" applyBorder="1" applyAlignment="1">
      <alignment wrapText="1"/>
    </xf>
    <xf numFmtId="0" fontId="7" fillId="12" borderId="6" xfId="0" applyFont="1" applyFill="1" applyBorder="1" applyAlignment="1">
      <alignment wrapText="1"/>
    </xf>
    <xf numFmtId="0" fontId="7" fillId="12" borderId="31" xfId="0" applyFont="1" applyFill="1" applyBorder="1" applyAlignment="1">
      <alignment wrapText="1"/>
    </xf>
    <xf numFmtId="0" fontId="7" fillId="11" borderId="22" xfId="0" applyFont="1" applyFill="1" applyBorder="1" applyAlignment="1">
      <alignment wrapText="1"/>
    </xf>
    <xf numFmtId="0" fontId="7" fillId="11" borderId="58" xfId="0" applyFont="1" applyFill="1" applyBorder="1" applyAlignment="1">
      <alignment wrapText="1"/>
    </xf>
    <xf numFmtId="0" fontId="7" fillId="11" borderId="8" xfId="0" applyFont="1" applyFill="1" applyBorder="1" applyAlignment="1">
      <alignment wrapText="1"/>
    </xf>
    <xf numFmtId="0" fontId="7" fillId="11" borderId="15" xfId="0" applyFont="1" applyFill="1" applyBorder="1" applyAlignment="1">
      <alignment wrapText="1"/>
    </xf>
    <xf numFmtId="0" fontId="9" fillId="0" borderId="59" xfId="0" applyFont="1" applyBorder="1" applyAlignment="1">
      <alignment wrapText="1"/>
    </xf>
    <xf numFmtId="0" fontId="9" fillId="0" borderId="0" xfId="0" applyFont="1" applyAlignment="1">
      <alignment wrapText="1"/>
    </xf>
    <xf numFmtId="0" fontId="3" fillId="6" borderId="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5" xfId="0" applyFont="1" applyFill="1" applyBorder="1" applyAlignment="1">
      <alignment horizontal="center" vertical="center"/>
    </xf>
    <xf numFmtId="0" fontId="7" fillId="11" borderId="19" xfId="0" applyFont="1" applyFill="1" applyBorder="1" applyAlignment="1">
      <alignment wrapText="1"/>
    </xf>
    <xf numFmtId="0" fontId="0" fillId="8" borderId="13" xfId="0" applyFill="1" applyBorder="1" applyAlignment="1">
      <alignment/>
    </xf>
    <xf numFmtId="0" fontId="0" fillId="8" borderId="28" xfId="0" applyFill="1" applyBorder="1" applyAlignment="1">
      <alignment/>
    </xf>
    <xf numFmtId="0" fontId="0" fillId="8" borderId="34" xfId="0" applyFill="1" applyBorder="1" applyAlignment="1">
      <alignment/>
    </xf>
    <xf numFmtId="170" fontId="0" fillId="8" borderId="40" xfId="0" applyNumberFormat="1" applyFill="1" applyBorder="1" applyAlignment="1">
      <alignment horizontal="left"/>
    </xf>
    <xf numFmtId="170" fontId="0" fillId="8" borderId="21" xfId="0" applyNumberFormat="1" applyFill="1" applyBorder="1" applyAlignment="1">
      <alignment horizontal="left"/>
    </xf>
    <xf numFmtId="170" fontId="0" fillId="8" borderId="60" xfId="0" applyNumberFormat="1" applyFill="1" applyBorder="1" applyAlignment="1">
      <alignment horizontal="left"/>
    </xf>
    <xf numFmtId="0" fontId="0" fillId="8" borderId="14" xfId="0" applyFill="1" applyBorder="1" applyAlignment="1">
      <alignment/>
    </xf>
    <xf numFmtId="0" fontId="0" fillId="8" borderId="18" xfId="0" applyFill="1" applyBorder="1" applyAlignment="1">
      <alignment/>
    </xf>
    <xf numFmtId="0" fontId="0" fillId="8" borderId="27" xfId="0" applyFill="1" applyBorder="1" applyAlignment="1">
      <alignment/>
    </xf>
    <xf numFmtId="21" fontId="0" fillId="8" borderId="4" xfId="0" applyNumberFormat="1" applyFill="1" applyBorder="1" applyAlignment="1">
      <alignment horizontal="center" vertical="center" wrapText="1"/>
    </xf>
    <xf numFmtId="0" fontId="0" fillId="0" borderId="25" xfId="0" applyBorder="1" applyAlignment="1">
      <alignment horizontal="center" vertical="center" wrapText="1"/>
    </xf>
    <xf numFmtId="0" fontId="0" fillId="0" borderId="5" xfId="0" applyBorder="1" applyAlignment="1">
      <alignment horizontal="center" vertical="center" wrapText="1"/>
    </xf>
    <xf numFmtId="0" fontId="8" fillId="0" borderId="0" xfId="0" applyFont="1" applyAlignment="1">
      <alignment/>
    </xf>
    <xf numFmtId="0" fontId="20" fillId="17" borderId="13" xfId="0" applyFont="1" applyFill="1" applyBorder="1" applyAlignment="1">
      <alignment wrapText="1"/>
    </xf>
    <xf numFmtId="0" fontId="20" fillId="17" borderId="28" xfId="0" applyFont="1" applyFill="1" applyBorder="1" applyAlignment="1">
      <alignment wrapText="1"/>
    </xf>
    <xf numFmtId="0" fontId="20" fillId="17" borderId="8" xfId="0" applyFont="1" applyFill="1" applyBorder="1" applyAlignment="1">
      <alignment wrapText="1"/>
    </xf>
    <xf numFmtId="0" fontId="20" fillId="17" borderId="7" xfId="0" applyFont="1" applyFill="1" applyBorder="1" applyAlignment="1">
      <alignment wrapText="1"/>
    </xf>
    <xf numFmtId="0" fontId="20" fillId="17" borderId="10" xfId="0" applyFont="1" applyFill="1" applyBorder="1" applyAlignment="1">
      <alignment wrapText="1"/>
    </xf>
    <xf numFmtId="0" fontId="20" fillId="17" borderId="11" xfId="0" applyFont="1" applyFill="1" applyBorder="1" applyAlignment="1">
      <alignment wrapText="1"/>
    </xf>
    <xf numFmtId="0" fontId="20" fillId="0" borderId="6" xfId="0" applyFont="1" applyBorder="1" applyAlignment="1">
      <alignment/>
    </xf>
    <xf numFmtId="0" fontId="20" fillId="0" borderId="31" xfId="0" applyFont="1" applyBorder="1" applyAlignment="1">
      <alignment/>
    </xf>
    <xf numFmtId="0" fontId="40" fillId="18" borderId="42" xfId="0" applyFont="1" applyFill="1" applyBorder="1" applyAlignment="1">
      <alignment wrapText="1"/>
    </xf>
    <xf numFmtId="0" fontId="40" fillId="18" borderId="61" xfId="0" applyFont="1" applyFill="1" applyBorder="1" applyAlignment="1">
      <alignment wrapText="1"/>
    </xf>
    <xf numFmtId="0" fontId="40" fillId="18" borderId="45" xfId="0" applyFont="1" applyFill="1" applyBorder="1" applyAlignment="1">
      <alignment wrapText="1"/>
    </xf>
    <xf numFmtId="0" fontId="40" fillId="18" borderId="49" xfId="0" applyFont="1" applyFill="1" applyBorder="1" applyAlignment="1">
      <alignment wrapText="1"/>
    </xf>
    <xf numFmtId="0" fontId="28" fillId="18" borderId="1" xfId="0" applyFont="1" applyFill="1" applyBorder="1" applyAlignment="1">
      <alignment wrapText="1"/>
    </xf>
    <xf numFmtId="0" fontId="28" fillId="18" borderId="62" xfId="0" applyFont="1" applyFill="1" applyBorder="1" applyAlignment="1">
      <alignment wrapText="1"/>
    </xf>
    <xf numFmtId="0" fontId="20" fillId="0" borderId="7" xfId="0" applyFont="1" applyBorder="1" applyAlignment="1">
      <alignment horizontal="center" vertical="center" wrapText="1"/>
    </xf>
    <xf numFmtId="0" fontId="20" fillId="0" borderId="7" xfId="0" applyFont="1" applyBorder="1" applyAlignment="1">
      <alignment wrapText="1"/>
    </xf>
    <xf numFmtId="171" fontId="8" fillId="8" borderId="14" xfId="0" applyNumberFormat="1" applyFont="1" applyFill="1" applyBorder="1" applyAlignment="1">
      <alignment horizontal="center"/>
    </xf>
    <xf numFmtId="0" fontId="0" fillId="0" borderId="18" xfId="0" applyBorder="1" applyAlignment="1">
      <alignment horizontal="center"/>
    </xf>
    <xf numFmtId="0" fontId="0" fillId="0" borderId="27" xfId="0" applyBorder="1" applyAlignment="1">
      <alignment/>
    </xf>
    <xf numFmtId="171" fontId="8" fillId="8" borderId="13" xfId="0" applyNumberFormat="1" applyFont="1" applyFill="1" applyBorder="1" applyAlignment="1">
      <alignment horizontal="center"/>
    </xf>
    <xf numFmtId="0" fontId="0" fillId="0" borderId="28" xfId="0" applyBorder="1" applyAlignment="1">
      <alignment horizontal="center"/>
    </xf>
    <xf numFmtId="0" fontId="0" fillId="0" borderId="34" xfId="0" applyBorder="1" applyAlignment="1">
      <alignment/>
    </xf>
    <xf numFmtId="0" fontId="8" fillId="2" borderId="42" xfId="0" applyFont="1" applyFill="1" applyBorder="1" applyAlignment="1">
      <alignment horizontal="center" wrapText="1"/>
    </xf>
    <xf numFmtId="0" fontId="0" fillId="0" borderId="44" xfId="0" applyBorder="1" applyAlignment="1">
      <alignment horizontal="center" wrapText="1"/>
    </xf>
    <xf numFmtId="0" fontId="0" fillId="0" borderId="45" xfId="0" applyBorder="1" applyAlignment="1">
      <alignment horizontal="center" wrapText="1"/>
    </xf>
    <xf numFmtId="0" fontId="0" fillId="0" borderId="46" xfId="0" applyBorder="1" applyAlignment="1">
      <alignment horizontal="center" wrapText="1"/>
    </xf>
    <xf numFmtId="21" fontId="36" fillId="19" borderId="45" xfId="0" applyNumberFormat="1" applyFont="1" applyFill="1" applyBorder="1" applyAlignment="1">
      <alignment horizontal="center" vertical="center" wrapText="1"/>
    </xf>
    <xf numFmtId="0" fontId="0" fillId="0" borderId="46" xfId="0" applyBorder="1"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8" fillId="13" borderId="0" xfId="0" applyFont="1" applyFill="1" applyAlignment="1">
      <alignment wrapText="1"/>
    </xf>
    <xf numFmtId="0" fontId="8" fillId="20" borderId="0" xfId="0" applyFont="1" applyFill="1" applyAlignment="1">
      <alignment wrapText="1"/>
    </xf>
    <xf numFmtId="0" fontId="28" fillId="13" borderId="0" xfId="0" applyFont="1" applyFill="1" applyAlignment="1">
      <alignment wrapText="1"/>
    </xf>
    <xf numFmtId="0" fontId="25" fillId="16" borderId="0" xfId="0" applyFont="1" applyFill="1" applyAlignment="1">
      <alignment horizontal="center" vertical="center" wrapText="1"/>
    </xf>
    <xf numFmtId="0" fontId="20"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6">
    <dxf>
      <fill>
        <patternFill>
          <bgColor rgb="FF00FF00"/>
        </patternFill>
      </fill>
      <border/>
    </dxf>
    <dxf>
      <font>
        <color rgb="FFFFFFFF"/>
      </font>
      <fill>
        <patternFill>
          <bgColor rgb="FFFF0000"/>
        </patternFill>
      </fill>
      <border/>
    </dxf>
    <dxf>
      <fill>
        <patternFill>
          <bgColor rgb="FFFF6600"/>
        </patternFill>
      </fill>
      <border/>
    </dxf>
    <dxf>
      <font>
        <color rgb="FFFFFFFF"/>
      </font>
      <fill>
        <patternFill>
          <bgColor rgb="FF3366FF"/>
        </patternFill>
      </fill>
      <border/>
    </dxf>
    <dxf>
      <fill>
        <patternFill>
          <bgColor rgb="FFFFFF00"/>
        </patternFill>
      </fill>
      <border/>
    </dxf>
    <dxf>
      <font>
        <color rgb="FFFFFF99"/>
      </font>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152400</xdr:colOff>
      <xdr:row>4</xdr:row>
      <xdr:rowOff>0</xdr:rowOff>
    </xdr:from>
    <xdr:to>
      <xdr:col>9</xdr:col>
      <xdr:colOff>485775</xdr:colOff>
      <xdr:row>6</xdr:row>
      <xdr:rowOff>0</xdr:rowOff>
    </xdr:to>
    <xdr:sp>
      <xdr:nvSpPr>
        <xdr:cNvPr id="1" name="TextBox 1"/>
        <xdr:cNvSpPr txBox="1">
          <a:spLocks noChangeArrowheads="1"/>
        </xdr:cNvSpPr>
      </xdr:nvSpPr>
      <xdr:spPr>
        <a:xfrm>
          <a:off x="1600200" y="781050"/>
          <a:ext cx="3990975" cy="495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League tables showing the current ranking of runners based on the total number of points they have earned from their best performances in each of the league categories</a:t>
          </a:r>
        </a:p>
      </xdr:txBody>
    </xdr:sp>
    <xdr:clientData/>
  </xdr:twoCellAnchor>
  <xdr:twoCellAnchor>
    <xdr:from>
      <xdr:col>3</xdr:col>
      <xdr:colOff>152400</xdr:colOff>
      <xdr:row>7</xdr:row>
      <xdr:rowOff>0</xdr:rowOff>
    </xdr:from>
    <xdr:to>
      <xdr:col>9</xdr:col>
      <xdr:colOff>485775</xdr:colOff>
      <xdr:row>9</xdr:row>
      <xdr:rowOff>0</xdr:rowOff>
    </xdr:to>
    <xdr:sp>
      <xdr:nvSpPr>
        <xdr:cNvPr id="2" name="TextBox 2"/>
        <xdr:cNvSpPr txBox="1">
          <a:spLocks noChangeArrowheads="1"/>
        </xdr:cNvSpPr>
      </xdr:nvSpPr>
      <xdr:spPr>
        <a:xfrm>
          <a:off x="1600200" y="1524000"/>
          <a:ext cx="3990975" cy="495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Results entry table for the Male league. Times for each race are entered and points are then automatically caluclated. The best performance in category is fed to the league table </a:t>
          </a:r>
        </a:p>
      </xdr:txBody>
    </xdr:sp>
    <xdr:clientData/>
  </xdr:twoCellAnchor>
  <xdr:twoCellAnchor>
    <xdr:from>
      <xdr:col>3</xdr:col>
      <xdr:colOff>152400</xdr:colOff>
      <xdr:row>9</xdr:row>
      <xdr:rowOff>238125</xdr:rowOff>
    </xdr:from>
    <xdr:to>
      <xdr:col>9</xdr:col>
      <xdr:colOff>485775</xdr:colOff>
      <xdr:row>11</xdr:row>
      <xdr:rowOff>238125</xdr:rowOff>
    </xdr:to>
    <xdr:sp>
      <xdr:nvSpPr>
        <xdr:cNvPr id="3" name="TextBox 3"/>
        <xdr:cNvSpPr txBox="1">
          <a:spLocks noChangeArrowheads="1"/>
        </xdr:cNvSpPr>
      </xdr:nvSpPr>
      <xdr:spPr>
        <a:xfrm>
          <a:off x="1600200" y="2257425"/>
          <a:ext cx="3990975" cy="495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Results entry table for the Female league. Times for each race are entered and points are then automatically caluclated. The best performance in category is fed to the league table </a:t>
          </a:r>
        </a:p>
      </xdr:txBody>
    </xdr:sp>
    <xdr:clientData/>
  </xdr:twoCellAnchor>
  <xdr:twoCellAnchor>
    <xdr:from>
      <xdr:col>3</xdr:col>
      <xdr:colOff>152400</xdr:colOff>
      <xdr:row>13</xdr:row>
      <xdr:rowOff>0</xdr:rowOff>
    </xdr:from>
    <xdr:to>
      <xdr:col>9</xdr:col>
      <xdr:colOff>485775</xdr:colOff>
      <xdr:row>15</xdr:row>
      <xdr:rowOff>0</xdr:rowOff>
    </xdr:to>
    <xdr:sp>
      <xdr:nvSpPr>
        <xdr:cNvPr id="4" name="TextBox 4"/>
        <xdr:cNvSpPr txBox="1">
          <a:spLocks noChangeArrowheads="1"/>
        </xdr:cNvSpPr>
      </xdr:nvSpPr>
      <xdr:spPr>
        <a:xfrm>
          <a:off x="1600200" y="3009900"/>
          <a:ext cx="3990975" cy="495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Provides a race-by-race listing of the people who took part and shows their times and points earned. Also provides a calculator that compares performances of two people and their age related time differences.</a:t>
          </a:r>
        </a:p>
      </xdr:txBody>
    </xdr:sp>
    <xdr:clientData/>
  </xdr:twoCellAnchor>
  <xdr:twoCellAnchor>
    <xdr:from>
      <xdr:col>3</xdr:col>
      <xdr:colOff>142875</xdr:colOff>
      <xdr:row>16</xdr:row>
      <xdr:rowOff>0</xdr:rowOff>
    </xdr:from>
    <xdr:to>
      <xdr:col>9</xdr:col>
      <xdr:colOff>476250</xdr:colOff>
      <xdr:row>18</xdr:row>
      <xdr:rowOff>0</xdr:rowOff>
    </xdr:to>
    <xdr:sp>
      <xdr:nvSpPr>
        <xdr:cNvPr id="5" name="TextBox 5"/>
        <xdr:cNvSpPr txBox="1">
          <a:spLocks noChangeArrowheads="1"/>
        </xdr:cNvSpPr>
      </xdr:nvSpPr>
      <xdr:spPr>
        <a:xfrm>
          <a:off x="1590675" y="3752850"/>
          <a:ext cx="3990975" cy="495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Provides a listing of the race performances of any individual.  Lets you see if they have completed the qualifying races, summarises points and provides a "consistency " score.</a:t>
          </a:r>
        </a:p>
      </xdr:txBody>
    </xdr:sp>
    <xdr:clientData/>
  </xdr:twoCellAnchor>
  <xdr:twoCellAnchor>
    <xdr:from>
      <xdr:col>3</xdr:col>
      <xdr:colOff>133350</xdr:colOff>
      <xdr:row>19</xdr:row>
      <xdr:rowOff>0</xdr:rowOff>
    </xdr:from>
    <xdr:to>
      <xdr:col>9</xdr:col>
      <xdr:colOff>466725</xdr:colOff>
      <xdr:row>21</xdr:row>
      <xdr:rowOff>0</xdr:rowOff>
    </xdr:to>
    <xdr:sp>
      <xdr:nvSpPr>
        <xdr:cNvPr id="6" name="TextBox 6"/>
        <xdr:cNvSpPr txBox="1">
          <a:spLocks noChangeArrowheads="1"/>
        </xdr:cNvSpPr>
      </xdr:nvSpPr>
      <xdr:spPr>
        <a:xfrm>
          <a:off x="1581150" y="4495800"/>
          <a:ext cx="3990975" cy="495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Provides a preduction of race performances over a variety of distances based on a performance in a specific race.</a:t>
          </a:r>
        </a:p>
      </xdr:txBody>
    </xdr:sp>
    <xdr:clientData/>
  </xdr:twoCellAnchor>
  <xdr:twoCellAnchor>
    <xdr:from>
      <xdr:col>10</xdr:col>
      <xdr:colOff>0</xdr:colOff>
      <xdr:row>4</xdr:row>
      <xdr:rowOff>0</xdr:rowOff>
    </xdr:from>
    <xdr:to>
      <xdr:col>15</xdr:col>
      <xdr:colOff>457200</xdr:colOff>
      <xdr:row>16</xdr:row>
      <xdr:rowOff>142875</xdr:rowOff>
    </xdr:to>
    <xdr:sp>
      <xdr:nvSpPr>
        <xdr:cNvPr id="7" name="TextBox 7"/>
        <xdr:cNvSpPr txBox="1">
          <a:spLocks noChangeArrowheads="1"/>
        </xdr:cNvSpPr>
      </xdr:nvSpPr>
      <xdr:spPr>
        <a:xfrm>
          <a:off x="5715000" y="781050"/>
          <a:ext cx="3505200" cy="3114675"/>
        </a:xfrm>
        <a:prstGeom prst="rect">
          <a:avLst/>
        </a:prstGeom>
        <a:solidFill>
          <a:srgbClr val="FFFFCC"/>
        </a:solidFill>
        <a:ln w="9525" cmpd="sng">
          <a:solidFill>
            <a:srgbClr val="000000"/>
          </a:solidFill>
          <a:headEnd type="none"/>
          <a:tailEnd type="none"/>
        </a:ln>
      </xdr:spPr>
      <xdr:txBody>
        <a:bodyPr vertOverflow="clip" wrap="square"/>
        <a:p>
          <a:pPr algn="ctr">
            <a:defRPr/>
          </a:pPr>
          <a:r>
            <a:rPr lang="en-US" cap="none" sz="1200" b="0" i="0" u="sng" baseline="0">
              <a:solidFill>
                <a:srgbClr val="0000FF"/>
              </a:solidFill>
              <a:latin typeface="Comic Sans MS"/>
              <a:ea typeface="Comic Sans MS"/>
              <a:cs typeface="Comic Sans MS"/>
            </a:rPr>
            <a:t>Notes &amp; Acknowledgements</a:t>
          </a:r>
          <a:r>
            <a:rPr lang="en-US" cap="none" sz="1000" b="0" i="0" u="none" baseline="0">
              <a:latin typeface="Comic Sans MS"/>
              <a:ea typeface="Comic Sans MS"/>
              <a:cs typeface="Comic Sans MS"/>
            </a:rPr>
            <a:t>
T</a:t>
          </a:r>
          <a:r>
            <a:rPr lang="en-US" cap="none" sz="900" b="0" i="0" u="none" baseline="0">
              <a:latin typeface="Comic Sans MS"/>
              <a:ea typeface="Comic Sans MS"/>
              <a:cs typeface="Comic Sans MS"/>
            </a:rPr>
            <a:t>he contents of this spreadsheet are all based on the Race Prediction programme developed by Rodney Pearson, 518 University Drive,Starkeville ,MS. 
This programme uses age adjustment factors obtained from the National Runners Data Centre to predict performance against "open class" world record performamnces. This data has been reproduced into the spreadsheet.
Performances are rated as a percentage of the age adjusted world record performance and this represents the points that are awarded in the league scheme. 
World record performances have been obtained from Athletics Weekly and Association of Road Racing Statistics</a:t>
          </a:r>
          <a:r>
            <a:rPr lang="en-US" cap="none" sz="1000" b="0" i="0" u="none" baseline="0">
              <a:latin typeface="Comic Sans MS"/>
              <a:ea typeface="Comic Sans MS"/>
              <a:cs typeface="Comic Sans MS"/>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85725</xdr:rowOff>
    </xdr:from>
    <xdr:to>
      <xdr:col>18</xdr:col>
      <xdr:colOff>666750</xdr:colOff>
      <xdr:row>3</xdr:row>
      <xdr:rowOff>228600</xdr:rowOff>
    </xdr:to>
    <xdr:sp>
      <xdr:nvSpPr>
        <xdr:cNvPr id="1" name="TextBox 1"/>
        <xdr:cNvSpPr txBox="1">
          <a:spLocks noChangeArrowheads="1"/>
        </xdr:cNvSpPr>
      </xdr:nvSpPr>
      <xdr:spPr>
        <a:xfrm>
          <a:off x="552450" y="695325"/>
          <a:ext cx="10763250" cy="5810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Comic Sans MS"/>
              <a:ea typeface="Comic Sans MS"/>
              <a:cs typeface="Comic Sans MS"/>
            </a:rPr>
            <a:t>Tables show the current positions for all members based on result times entered into the Male and Female results sheets. The highest points score for each category is shown.  The Qualified column will show green for all people who have entered times in each of the categories AND who have completed a minimum of 4 league races. 
</a:t>
          </a:r>
          <a:r>
            <a:rPr lang="en-US" cap="none" sz="1000" b="1" i="0" u="none" baseline="0">
              <a:solidFill>
                <a:srgbClr val="FF0000"/>
              </a:solidFill>
              <a:latin typeface="Comic Sans MS"/>
              <a:ea typeface="Comic Sans MS"/>
              <a:cs typeface="Comic Sans MS"/>
            </a:rPr>
            <a:t>People must nominate Optional race before it will be shown. The Include Optionals button lets you see positions with and without these scores.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28575</xdr:colOff>
      <xdr:row>0</xdr:row>
      <xdr:rowOff>9525</xdr:rowOff>
    </xdr:from>
    <xdr:to>
      <xdr:col>22</xdr:col>
      <xdr:colOff>0</xdr:colOff>
      <xdr:row>3</xdr:row>
      <xdr:rowOff>9525</xdr:rowOff>
    </xdr:to>
    <xdr:sp>
      <xdr:nvSpPr>
        <xdr:cNvPr id="1" name="TextBox 18"/>
        <xdr:cNvSpPr txBox="1">
          <a:spLocks noChangeArrowheads="1"/>
        </xdr:cNvSpPr>
      </xdr:nvSpPr>
      <xdr:spPr>
        <a:xfrm>
          <a:off x="17287875" y="9525"/>
          <a:ext cx="3562350" cy="1181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To enter Optional Race details you must use the Code Number from the following table.
1 Mile  = 1           15k =                    6       30k =             11
5k =       2           10 Mile =               7       20 Mile =        12
8k =       3            20k =                    8       Marathon =   13
5 Mile =  4            Half Marathon =   9     
10 k =    5            25k =                    10</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28575</xdr:colOff>
      <xdr:row>0</xdr:row>
      <xdr:rowOff>38100</xdr:rowOff>
    </xdr:from>
    <xdr:to>
      <xdr:col>21</xdr:col>
      <xdr:colOff>2000250</xdr:colOff>
      <xdr:row>2</xdr:row>
      <xdr:rowOff>266700</xdr:rowOff>
    </xdr:to>
    <xdr:sp>
      <xdr:nvSpPr>
        <xdr:cNvPr id="1" name="TextBox 31"/>
        <xdr:cNvSpPr txBox="1">
          <a:spLocks noChangeArrowheads="1"/>
        </xdr:cNvSpPr>
      </xdr:nvSpPr>
      <xdr:spPr>
        <a:xfrm>
          <a:off x="17240250" y="38100"/>
          <a:ext cx="4010025" cy="1200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To enter Optional Race details you must use the Code Number from the following table.
1 Mile  = 1           15k =                    6       30k =             11
5k =       2           10 Mile =               7       20 Mile =        12
8k =       3            20k =                    8       Marathon =   13
5 Mile =  4            Half Marathon =   9     
10 k =    5            25k =                    10</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14</xdr:row>
      <xdr:rowOff>133350</xdr:rowOff>
    </xdr:from>
    <xdr:to>
      <xdr:col>12</xdr:col>
      <xdr:colOff>0</xdr:colOff>
      <xdr:row>18</xdr:row>
      <xdr:rowOff>114300</xdr:rowOff>
    </xdr:to>
    <xdr:sp>
      <xdr:nvSpPr>
        <xdr:cNvPr id="1" name="TextBox 10"/>
        <xdr:cNvSpPr txBox="1">
          <a:spLocks noChangeArrowheads="1"/>
        </xdr:cNvSpPr>
      </xdr:nvSpPr>
      <xdr:spPr>
        <a:xfrm>
          <a:off x="5181600" y="3019425"/>
          <a:ext cx="3581400" cy="723900"/>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sz="800" b="0" i="0" u="none" baseline="0"/>
            <a:t>Consistency ratings are based on the variation in points earned for each race. The lower the rating the tighter the consistency.
Ratings are shown for each race category and for all races so some view of personal strengths can be assessed.</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257175</xdr:colOff>
      <xdr:row>3</xdr:row>
      <xdr:rowOff>114300</xdr:rowOff>
    </xdr:from>
    <xdr:to>
      <xdr:col>15</xdr:col>
      <xdr:colOff>152400</xdr:colOff>
      <xdr:row>8</xdr:row>
      <xdr:rowOff>85725</xdr:rowOff>
    </xdr:to>
    <xdr:sp>
      <xdr:nvSpPr>
        <xdr:cNvPr id="1" name="TextBox 20"/>
        <xdr:cNvSpPr txBox="1">
          <a:spLocks noChangeArrowheads="1"/>
        </xdr:cNvSpPr>
      </xdr:nvSpPr>
      <xdr:spPr>
        <a:xfrm>
          <a:off x="1962150" y="685800"/>
          <a:ext cx="7381875" cy="11334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sng" baseline="0">
              <a:solidFill>
                <a:srgbClr val="FF0000"/>
              </a:solidFill>
              <a:latin typeface="Comic Sans MS"/>
              <a:ea typeface="Comic Sans MS"/>
              <a:cs typeface="Comic Sans MS"/>
            </a:rPr>
            <a:t>Age Related Distance Performance tables</a:t>
          </a:r>
          <a:r>
            <a:rPr lang="en-US" cap="none" sz="900" b="0" i="0" u="none" baseline="0">
              <a:latin typeface="Comic Sans MS"/>
              <a:ea typeface="Comic Sans MS"/>
              <a:cs typeface="Comic Sans MS"/>
            </a:rPr>
            <a:t>
In this sheet you can compare your performance in a particular race and see predicted performnace at other distances. 
The calculation looks at the World Record performance for each race assuming that it was set by a 30 year old or younger. This time is  weighted according to age and your performance is assessed  as a percentage of the age weighted time. The table predicts your performance over other distances at the same age weighted percentage rate. 
</a:t>
          </a:r>
          <a:r>
            <a:rPr lang="en-US" cap="none" sz="1000" b="0" i="0" u="none" baseline="0">
              <a:solidFill>
                <a:srgbClr val="FF0000"/>
              </a:solidFill>
              <a:latin typeface="Comic Sans MS"/>
              <a:ea typeface="Comic Sans MS"/>
              <a:cs typeface="Comic Sans MS"/>
            </a:rPr>
            <a:t>Select Sex and Distance using the buttons and then enter you Age (30 - 70) and performance over the chosen distance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3</xdr:row>
      <xdr:rowOff>9525</xdr:rowOff>
    </xdr:from>
    <xdr:to>
      <xdr:col>16</xdr:col>
      <xdr:colOff>28575</xdr:colOff>
      <xdr:row>13</xdr:row>
      <xdr:rowOff>152400</xdr:rowOff>
    </xdr:to>
    <xdr:sp>
      <xdr:nvSpPr>
        <xdr:cNvPr id="1" name="TextBox 9"/>
        <xdr:cNvSpPr txBox="1">
          <a:spLocks noChangeArrowheads="1"/>
        </xdr:cNvSpPr>
      </xdr:nvSpPr>
      <xdr:spPr>
        <a:xfrm>
          <a:off x="6410325" y="790575"/>
          <a:ext cx="4714875" cy="19526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200" b="1" i="0" u="sng" baseline="0">
              <a:latin typeface="Comic Sans MS"/>
              <a:ea typeface="Comic Sans MS"/>
              <a:cs typeface="Comic Sans MS"/>
            </a:rPr>
            <a:t>Race Analysis</a:t>
          </a:r>
          <a:r>
            <a:rPr lang="en-US" cap="none" sz="1000" b="0" i="0" u="sng" baseline="0">
              <a:latin typeface="Comic Sans MS"/>
              <a:ea typeface="Comic Sans MS"/>
              <a:cs typeface="Comic Sans MS"/>
            </a:rPr>
            <a:t>
</a:t>
          </a:r>
          <a:r>
            <a:rPr lang="en-US" cap="none" sz="1000" b="0" i="0" u="none" baseline="0">
              <a:latin typeface="Comic Sans MS"/>
              <a:ea typeface="Comic Sans MS"/>
              <a:cs typeface="Comic Sans MS"/>
            </a:rPr>
            <a:t>
Look at people's times and points for any league race by choosing the race name and sex. 
Screen will display the  names of the people who ran in finishing time order and the points they scored for the race. 
Points ranking shows the finishing order based on the points scored by  each person in the race
</a:t>
          </a:r>
        </a:p>
      </xdr:txBody>
    </xdr:sp>
    <xdr:clientData/>
  </xdr:twoCellAnchor>
  <xdr:twoCellAnchor>
    <xdr:from>
      <xdr:col>8</xdr:col>
      <xdr:colOff>200025</xdr:colOff>
      <xdr:row>14</xdr:row>
      <xdr:rowOff>76200</xdr:rowOff>
    </xdr:from>
    <xdr:to>
      <xdr:col>15</xdr:col>
      <xdr:colOff>457200</xdr:colOff>
      <xdr:row>21</xdr:row>
      <xdr:rowOff>123825</xdr:rowOff>
    </xdr:to>
    <xdr:sp>
      <xdr:nvSpPr>
        <xdr:cNvPr id="2" name="TextBox 10"/>
        <xdr:cNvSpPr txBox="1">
          <a:spLocks noChangeArrowheads="1"/>
        </xdr:cNvSpPr>
      </xdr:nvSpPr>
      <xdr:spPr>
        <a:xfrm>
          <a:off x="6581775" y="2867025"/>
          <a:ext cx="4362450" cy="14478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200" b="1" i="0" u="sng" baseline="0">
              <a:solidFill>
                <a:srgbClr val="FF0000"/>
              </a:solidFill>
              <a:latin typeface="Comic Sans MS"/>
              <a:ea typeface="Comic Sans MS"/>
              <a:cs typeface="Comic Sans MS"/>
            </a:rPr>
            <a:t>Feeling Competitive?</a:t>
          </a:r>
          <a:r>
            <a:rPr lang="en-US" cap="none" sz="1000" b="0" i="0" u="sng" baseline="0">
              <a:latin typeface="Comic Sans MS"/>
              <a:ea typeface="Comic Sans MS"/>
              <a:cs typeface="Comic Sans MS"/>
            </a:rPr>
            <a:t>
</a:t>
          </a:r>
          <a:r>
            <a:rPr lang="en-US" cap="none" sz="1000" b="0" i="0" u="none" baseline="0">
              <a:latin typeface="Comic Sans MS"/>
              <a:ea typeface="Comic Sans MS"/>
              <a:cs typeface="Comic Sans MS"/>
            </a:rPr>
            <a:t>How fast would you have to run to match the points of your rival?
Enter both your ages and times for this race to see what you would have to do.
</a:t>
          </a:r>
          <a:r>
            <a:rPr lang="en-US" cap="none" sz="1000" b="0" i="1" u="sng" baseline="0">
              <a:latin typeface="Comic Sans MS"/>
              <a:ea typeface="Comic Sans MS"/>
              <a:cs typeface="Comic Sans MS"/>
            </a:rPr>
            <a:t>Note: the assumption is that they are scoring more points than you.
</a:t>
          </a:r>
          <a:r>
            <a:rPr lang="en-US" cap="none" sz="1000" b="0" i="0" u="none" baseline="0">
              <a:latin typeface="Comic Sans MS"/>
              <a:ea typeface="Comic Sans MS"/>
              <a:cs typeface="Comic Sans MS"/>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P38"/>
  <sheetViews>
    <sheetView workbookViewId="0" topLeftCell="A1">
      <selection activeCell="B5" sqref="B5:C6"/>
    </sheetView>
  </sheetViews>
  <sheetFormatPr defaultColWidth="9.140625" defaultRowHeight="12.75"/>
  <cols>
    <col min="1" max="1" width="3.421875" style="0" customWidth="1"/>
  </cols>
  <sheetData>
    <row r="1" spans="1:16" ht="12.75">
      <c r="A1" s="20"/>
      <c r="B1" s="20"/>
      <c r="C1" s="20"/>
      <c r="D1" s="20"/>
      <c r="E1" s="20"/>
      <c r="F1" s="20"/>
      <c r="G1" s="20"/>
      <c r="H1" s="20"/>
      <c r="I1" s="20"/>
      <c r="J1" s="20"/>
      <c r="K1" s="20"/>
      <c r="L1" s="20"/>
      <c r="M1" s="20"/>
      <c r="N1" s="20"/>
      <c r="O1" s="20"/>
      <c r="P1" s="20"/>
    </row>
    <row r="2" spans="1:16" ht="22.5">
      <c r="A2" s="20"/>
      <c r="B2" s="20"/>
      <c r="C2" s="13"/>
      <c r="D2" s="12"/>
      <c r="E2" s="228" t="s">
        <v>45</v>
      </c>
      <c r="F2" s="229"/>
      <c r="G2" s="229"/>
      <c r="H2" s="229"/>
      <c r="I2" s="229"/>
      <c r="J2" s="229"/>
      <c r="K2" s="229"/>
      <c r="L2" s="229"/>
      <c r="M2" s="11"/>
      <c r="N2" s="13"/>
      <c r="O2" s="20"/>
      <c r="P2" s="20"/>
    </row>
    <row r="3" spans="1:16" ht="12.75">
      <c r="A3" s="20"/>
      <c r="B3" s="20"/>
      <c r="C3" s="20"/>
      <c r="D3" s="20"/>
      <c r="E3" s="20"/>
      <c r="F3" s="20"/>
      <c r="G3" s="20"/>
      <c r="H3" s="20"/>
      <c r="I3" s="20"/>
      <c r="J3" s="20"/>
      <c r="K3" s="20"/>
      <c r="L3" s="20"/>
      <c r="M3" s="20"/>
      <c r="N3" s="20"/>
      <c r="O3" s="20"/>
      <c r="P3" s="20"/>
    </row>
    <row r="4" spans="1:16" ht="13.5" thickBot="1">
      <c r="A4" s="20"/>
      <c r="B4" s="20"/>
      <c r="C4" s="20"/>
      <c r="D4" s="20"/>
      <c r="E4" s="20"/>
      <c r="F4" s="20"/>
      <c r="G4" s="20"/>
      <c r="H4" s="20"/>
      <c r="I4" s="20"/>
      <c r="J4" s="20"/>
      <c r="K4" s="20"/>
      <c r="L4" s="20"/>
      <c r="M4" s="20"/>
      <c r="N4" s="20"/>
      <c r="O4" s="20"/>
      <c r="P4" s="20"/>
    </row>
    <row r="5" spans="1:16" ht="19.5" customHeight="1">
      <c r="A5" s="20"/>
      <c r="B5" s="224" t="s">
        <v>134</v>
      </c>
      <c r="C5" s="225"/>
      <c r="D5" s="20"/>
      <c r="E5" s="20"/>
      <c r="F5" s="20"/>
      <c r="G5" s="20"/>
      <c r="H5" s="20"/>
      <c r="I5" s="20"/>
      <c r="J5" s="20"/>
      <c r="K5" s="20"/>
      <c r="L5" s="20"/>
      <c r="M5" s="20"/>
      <c r="N5" s="20"/>
      <c r="O5" s="20"/>
      <c r="P5" s="20"/>
    </row>
    <row r="6" spans="1:16" ht="19.5" customHeight="1" thickBot="1">
      <c r="A6" s="20"/>
      <c r="B6" s="226"/>
      <c r="C6" s="227"/>
      <c r="D6" s="20"/>
      <c r="E6" s="20"/>
      <c r="F6" s="20"/>
      <c r="G6" s="20"/>
      <c r="H6" s="20"/>
      <c r="I6" s="20"/>
      <c r="J6" s="20"/>
      <c r="K6" s="20"/>
      <c r="L6" s="20"/>
      <c r="M6" s="20"/>
      <c r="N6" s="20"/>
      <c r="O6" s="20"/>
      <c r="P6" s="20"/>
    </row>
    <row r="7" spans="1:16" ht="19.5" customHeight="1" thickBot="1">
      <c r="A7" s="20"/>
      <c r="B7" s="20"/>
      <c r="C7" s="20"/>
      <c r="D7" s="20"/>
      <c r="E7" s="20"/>
      <c r="F7" s="20"/>
      <c r="G7" s="20"/>
      <c r="H7" s="20"/>
      <c r="I7" s="20"/>
      <c r="J7" s="20"/>
      <c r="K7" s="20"/>
      <c r="L7" s="20"/>
      <c r="M7" s="20"/>
      <c r="N7" s="20"/>
      <c r="O7" s="20"/>
      <c r="P7" s="20"/>
    </row>
    <row r="8" spans="1:16" ht="19.5" customHeight="1">
      <c r="A8" s="20"/>
      <c r="B8" s="224" t="s">
        <v>135</v>
      </c>
      <c r="C8" s="225"/>
      <c r="D8" s="20"/>
      <c r="E8" s="20"/>
      <c r="F8" s="20"/>
      <c r="G8" s="20"/>
      <c r="H8" s="20"/>
      <c r="I8" s="20"/>
      <c r="J8" s="20"/>
      <c r="K8" s="20"/>
      <c r="L8" s="20"/>
      <c r="M8" s="20"/>
      <c r="N8" s="20"/>
      <c r="O8" s="20"/>
      <c r="P8" s="20"/>
    </row>
    <row r="9" spans="1:16" ht="19.5" customHeight="1" thickBot="1">
      <c r="A9" s="20"/>
      <c r="B9" s="226"/>
      <c r="C9" s="227"/>
      <c r="D9" s="20"/>
      <c r="E9" s="20"/>
      <c r="F9" s="20"/>
      <c r="G9" s="20"/>
      <c r="H9" s="20"/>
      <c r="I9" s="20"/>
      <c r="J9" s="20"/>
      <c r="K9" s="20"/>
      <c r="L9" s="20"/>
      <c r="M9" s="20"/>
      <c r="N9" s="20"/>
      <c r="O9" s="20"/>
      <c r="P9" s="20"/>
    </row>
    <row r="10" spans="1:16" ht="19.5" customHeight="1" thickBot="1">
      <c r="A10" s="20"/>
      <c r="B10" s="20"/>
      <c r="C10" s="20"/>
      <c r="D10" s="20"/>
      <c r="E10" s="20"/>
      <c r="F10" s="20"/>
      <c r="G10" s="20"/>
      <c r="H10" s="20"/>
      <c r="I10" s="20"/>
      <c r="J10" s="20"/>
      <c r="K10" s="20"/>
      <c r="L10" s="20"/>
      <c r="M10" s="20"/>
      <c r="N10" s="20"/>
      <c r="O10" s="20"/>
      <c r="P10" s="20"/>
    </row>
    <row r="11" spans="1:16" ht="19.5" customHeight="1">
      <c r="A11" s="20"/>
      <c r="B11" s="224" t="s">
        <v>136</v>
      </c>
      <c r="C11" s="225"/>
      <c r="D11" s="20"/>
      <c r="E11" s="20"/>
      <c r="F11" s="20"/>
      <c r="G11" s="20"/>
      <c r="H11" s="20"/>
      <c r="I11" s="20"/>
      <c r="J11" s="20"/>
      <c r="K11" s="20"/>
      <c r="L11" s="20"/>
      <c r="M11" s="20"/>
      <c r="N11" s="20"/>
      <c r="O11" s="20"/>
      <c r="P11" s="20"/>
    </row>
    <row r="12" spans="1:16" ht="19.5" customHeight="1" thickBot="1">
      <c r="A12" s="20"/>
      <c r="B12" s="226"/>
      <c r="C12" s="227"/>
      <c r="D12" s="20"/>
      <c r="E12" s="20"/>
      <c r="F12" s="20"/>
      <c r="G12" s="20"/>
      <c r="H12" s="20"/>
      <c r="I12" s="20"/>
      <c r="J12" s="20"/>
      <c r="K12" s="20"/>
      <c r="L12" s="20"/>
      <c r="M12" s="20"/>
      <c r="N12" s="20"/>
      <c r="O12" s="20"/>
      <c r="P12" s="20"/>
    </row>
    <row r="13" spans="1:16" ht="19.5" customHeight="1" thickBot="1">
      <c r="A13" s="20"/>
      <c r="B13" s="20"/>
      <c r="C13" s="20"/>
      <c r="D13" s="20"/>
      <c r="E13" s="20"/>
      <c r="F13" s="20"/>
      <c r="G13" s="20"/>
      <c r="H13" s="20"/>
      <c r="I13" s="20"/>
      <c r="J13" s="20"/>
      <c r="K13" s="20"/>
      <c r="L13" s="20"/>
      <c r="M13" s="20"/>
      <c r="N13" s="20"/>
      <c r="O13" s="20"/>
      <c r="P13" s="20"/>
    </row>
    <row r="14" spans="1:16" ht="19.5" customHeight="1">
      <c r="A14" s="20"/>
      <c r="B14" s="224" t="s">
        <v>137</v>
      </c>
      <c r="C14" s="225"/>
      <c r="D14" s="20"/>
      <c r="E14" s="20"/>
      <c r="F14" s="20"/>
      <c r="G14" s="20"/>
      <c r="H14" s="20"/>
      <c r="I14" s="20"/>
      <c r="J14" s="20"/>
      <c r="K14" s="20"/>
      <c r="L14" s="20"/>
      <c r="M14" s="20"/>
      <c r="N14" s="20"/>
      <c r="O14" s="20"/>
      <c r="P14" s="20"/>
    </row>
    <row r="15" spans="1:16" ht="19.5" customHeight="1" thickBot="1">
      <c r="A15" s="20"/>
      <c r="B15" s="226"/>
      <c r="C15" s="227"/>
      <c r="D15" s="20"/>
      <c r="E15" s="20"/>
      <c r="F15" s="20"/>
      <c r="G15" s="20"/>
      <c r="H15" s="20"/>
      <c r="I15" s="20"/>
      <c r="J15" s="20"/>
      <c r="K15" s="20"/>
      <c r="L15" s="20"/>
      <c r="M15" s="20"/>
      <c r="N15" s="20"/>
      <c r="O15" s="20"/>
      <c r="P15" s="20"/>
    </row>
    <row r="16" spans="1:16" ht="19.5" customHeight="1" thickBot="1">
      <c r="A16" s="20"/>
      <c r="B16" s="20"/>
      <c r="C16" s="20"/>
      <c r="D16" s="20"/>
      <c r="E16" s="20"/>
      <c r="F16" s="20"/>
      <c r="G16" s="20"/>
      <c r="H16" s="20"/>
      <c r="I16" s="20"/>
      <c r="J16" s="20"/>
      <c r="K16" s="20"/>
      <c r="L16" s="20"/>
      <c r="M16" s="20"/>
      <c r="N16" s="20"/>
      <c r="O16" s="20"/>
      <c r="P16" s="20"/>
    </row>
    <row r="17" spans="1:16" ht="19.5" customHeight="1">
      <c r="A17" s="20"/>
      <c r="B17" s="224" t="s">
        <v>138</v>
      </c>
      <c r="C17" s="225"/>
      <c r="D17" s="20"/>
      <c r="E17" s="20"/>
      <c r="F17" s="20"/>
      <c r="G17" s="20"/>
      <c r="H17" s="20"/>
      <c r="I17" s="20"/>
      <c r="J17" s="20"/>
      <c r="K17" s="20"/>
      <c r="L17" s="20"/>
      <c r="M17" s="20"/>
      <c r="N17" s="20"/>
      <c r="O17" s="20"/>
      <c r="P17" s="20"/>
    </row>
    <row r="18" spans="1:16" ht="19.5" customHeight="1" thickBot="1">
      <c r="A18" s="20"/>
      <c r="B18" s="226"/>
      <c r="C18" s="227"/>
      <c r="D18" s="20"/>
      <c r="E18" s="20"/>
      <c r="F18" s="20"/>
      <c r="G18" s="20"/>
      <c r="H18" s="20"/>
      <c r="I18" s="20"/>
      <c r="J18" s="20"/>
      <c r="K18" s="20"/>
      <c r="L18" s="20"/>
      <c r="M18" s="20"/>
      <c r="N18" s="20"/>
      <c r="O18" s="20"/>
      <c r="P18" s="20"/>
    </row>
    <row r="19" spans="1:16" ht="19.5" customHeight="1" thickBot="1">
      <c r="A19" s="20"/>
      <c r="B19" s="20"/>
      <c r="C19" s="20"/>
      <c r="D19" s="20"/>
      <c r="E19" s="20"/>
      <c r="F19" s="20"/>
      <c r="G19" s="20"/>
      <c r="H19" s="20"/>
      <c r="I19" s="20"/>
      <c r="J19" s="20"/>
      <c r="K19" s="20"/>
      <c r="L19" s="20"/>
      <c r="M19" s="20"/>
      <c r="N19" s="20"/>
      <c r="O19" s="20"/>
      <c r="P19" s="20"/>
    </row>
    <row r="20" spans="1:16" ht="19.5" customHeight="1">
      <c r="A20" s="20"/>
      <c r="B20" s="224" t="s">
        <v>139</v>
      </c>
      <c r="C20" s="225"/>
      <c r="D20" s="20"/>
      <c r="E20" s="20"/>
      <c r="F20" s="20"/>
      <c r="G20" s="20"/>
      <c r="H20" s="20"/>
      <c r="I20" s="20"/>
      <c r="J20" s="20"/>
      <c r="K20" s="20"/>
      <c r="L20" s="20"/>
      <c r="M20" s="20"/>
      <c r="N20" s="20"/>
      <c r="O20" s="20"/>
      <c r="P20" s="20"/>
    </row>
    <row r="21" spans="1:16" ht="19.5" customHeight="1" thickBot="1">
      <c r="A21" s="20"/>
      <c r="B21" s="226"/>
      <c r="C21" s="227"/>
      <c r="D21" s="20"/>
      <c r="E21" s="20"/>
      <c r="F21" s="20"/>
      <c r="G21" s="20"/>
      <c r="H21" s="20"/>
      <c r="I21" s="20"/>
      <c r="J21" s="20"/>
      <c r="K21" s="20"/>
      <c r="L21" s="20"/>
      <c r="M21" s="20"/>
      <c r="N21" s="20"/>
      <c r="O21" s="20"/>
      <c r="P21" s="20"/>
    </row>
    <row r="22" spans="1:16" ht="12.75">
      <c r="A22" s="20"/>
      <c r="B22" s="20"/>
      <c r="C22" s="20"/>
      <c r="D22" s="20"/>
      <c r="E22" s="20"/>
      <c r="F22" s="20"/>
      <c r="G22" s="20"/>
      <c r="H22" s="20"/>
      <c r="I22" s="20"/>
      <c r="J22" s="20"/>
      <c r="K22" s="20"/>
      <c r="L22" s="20"/>
      <c r="M22" s="20"/>
      <c r="N22" s="20"/>
      <c r="O22" s="20"/>
      <c r="P22" s="20"/>
    </row>
    <row r="23" spans="1:16" ht="12.75">
      <c r="A23" s="20"/>
      <c r="B23" s="20"/>
      <c r="C23" s="20"/>
      <c r="D23" s="20"/>
      <c r="E23" s="20"/>
      <c r="F23" s="20"/>
      <c r="G23" s="20"/>
      <c r="H23" s="20"/>
      <c r="I23" s="20"/>
      <c r="J23" s="20"/>
      <c r="K23" s="20"/>
      <c r="L23" s="20"/>
      <c r="M23" s="20"/>
      <c r="N23" s="20"/>
      <c r="O23" s="20"/>
      <c r="P23" s="20"/>
    </row>
    <row r="24" spans="1:16" ht="12.75">
      <c r="A24" s="20"/>
      <c r="B24" s="20"/>
      <c r="C24" s="20"/>
      <c r="D24" s="20"/>
      <c r="E24" s="20"/>
      <c r="F24" s="20"/>
      <c r="G24" s="20"/>
      <c r="H24" s="20"/>
      <c r="I24" s="20"/>
      <c r="J24" s="20"/>
      <c r="K24" s="20"/>
      <c r="L24" s="20"/>
      <c r="M24" s="20"/>
      <c r="N24" s="20"/>
      <c r="O24" s="20"/>
      <c r="P24" s="20"/>
    </row>
    <row r="25" spans="1:16" ht="12.75">
      <c r="A25" s="20"/>
      <c r="B25" s="20"/>
      <c r="C25" s="20"/>
      <c r="D25" s="20"/>
      <c r="E25" s="20"/>
      <c r="F25" s="20"/>
      <c r="G25" s="20"/>
      <c r="H25" s="20"/>
      <c r="I25" s="20"/>
      <c r="J25" s="20"/>
      <c r="K25" s="20"/>
      <c r="L25" s="20"/>
      <c r="M25" s="20"/>
      <c r="N25" s="20"/>
      <c r="O25" s="20"/>
      <c r="P25" s="20"/>
    </row>
    <row r="26" spans="1:16" ht="12.75">
      <c r="A26" s="20"/>
      <c r="B26" s="20"/>
      <c r="C26" s="20"/>
      <c r="D26" s="20"/>
      <c r="E26" s="20"/>
      <c r="F26" s="20"/>
      <c r="G26" s="20"/>
      <c r="H26" s="20"/>
      <c r="I26" s="20"/>
      <c r="J26" s="20"/>
      <c r="K26" s="20"/>
      <c r="L26" s="20"/>
      <c r="M26" s="20"/>
      <c r="N26" s="20"/>
      <c r="O26" s="20"/>
      <c r="P26" s="20"/>
    </row>
    <row r="27" spans="1:16" ht="12.75">
      <c r="A27" s="20"/>
      <c r="B27" s="20"/>
      <c r="C27" s="20"/>
      <c r="D27" s="20"/>
      <c r="E27" s="20"/>
      <c r="F27" s="20"/>
      <c r="G27" s="20"/>
      <c r="H27" s="20"/>
      <c r="I27" s="20"/>
      <c r="J27" s="20"/>
      <c r="K27" s="20"/>
      <c r="L27" s="20"/>
      <c r="M27" s="20"/>
      <c r="N27" s="20"/>
      <c r="O27" s="20"/>
      <c r="P27" s="20"/>
    </row>
    <row r="28" spans="1:16" ht="12.75">
      <c r="A28" s="20"/>
      <c r="B28" s="20"/>
      <c r="C28" s="20"/>
      <c r="D28" s="20"/>
      <c r="E28" s="20"/>
      <c r="F28" s="20"/>
      <c r="G28" s="20"/>
      <c r="H28" s="20"/>
      <c r="I28" s="20"/>
      <c r="J28" s="20"/>
      <c r="K28" s="20"/>
      <c r="L28" s="20"/>
      <c r="M28" s="20"/>
      <c r="N28" s="20"/>
      <c r="O28" s="20"/>
      <c r="P28" s="20"/>
    </row>
    <row r="29" spans="1:16" ht="12.75">
      <c r="A29" s="20"/>
      <c r="B29" s="20"/>
      <c r="C29" s="20"/>
      <c r="D29" s="20"/>
      <c r="E29" s="20"/>
      <c r="F29" s="20"/>
      <c r="G29" s="20"/>
      <c r="H29" s="20"/>
      <c r="I29" s="20"/>
      <c r="J29" s="20"/>
      <c r="K29" s="20"/>
      <c r="L29" s="20"/>
      <c r="M29" s="20"/>
      <c r="N29" s="20"/>
      <c r="O29" s="20"/>
      <c r="P29" s="20"/>
    </row>
    <row r="30" spans="1:16" ht="12.75">
      <c r="A30" s="20"/>
      <c r="B30" s="20"/>
      <c r="C30" s="20"/>
      <c r="D30" s="20"/>
      <c r="E30" s="20"/>
      <c r="F30" s="20"/>
      <c r="G30" s="20"/>
      <c r="H30" s="20"/>
      <c r="I30" s="20"/>
      <c r="J30" s="20"/>
      <c r="K30" s="20"/>
      <c r="L30" s="20"/>
      <c r="M30" s="20"/>
      <c r="N30" s="20"/>
      <c r="O30" s="20"/>
      <c r="P30" s="20"/>
    </row>
    <row r="31" spans="1:16" ht="12.75">
      <c r="A31" s="20"/>
      <c r="B31" s="20"/>
      <c r="C31" s="20"/>
      <c r="D31" s="20"/>
      <c r="E31" s="20"/>
      <c r="F31" s="20"/>
      <c r="G31" s="20"/>
      <c r="H31" s="20"/>
      <c r="I31" s="20"/>
      <c r="J31" s="20"/>
      <c r="K31" s="20"/>
      <c r="L31" s="20"/>
      <c r="M31" s="20"/>
      <c r="N31" s="20"/>
      <c r="O31" s="20"/>
      <c r="P31" s="20"/>
    </row>
    <row r="32" spans="1:16" ht="12.75">
      <c r="A32" s="20"/>
      <c r="B32" s="20"/>
      <c r="C32" s="20"/>
      <c r="D32" s="20"/>
      <c r="E32" s="20"/>
      <c r="F32" s="20"/>
      <c r="G32" s="20"/>
      <c r="H32" s="20"/>
      <c r="I32" s="20"/>
      <c r="J32" s="20"/>
      <c r="K32" s="20"/>
      <c r="L32" s="20"/>
      <c r="M32" s="20"/>
      <c r="N32" s="20"/>
      <c r="O32" s="20"/>
      <c r="P32" s="20"/>
    </row>
    <row r="33" spans="1:16" ht="12.75">
      <c r="A33" s="20"/>
      <c r="B33" s="20"/>
      <c r="C33" s="20"/>
      <c r="D33" s="20"/>
      <c r="E33" s="20"/>
      <c r="F33" s="20"/>
      <c r="G33" s="20"/>
      <c r="H33" s="20"/>
      <c r="I33" s="20"/>
      <c r="J33" s="20"/>
      <c r="K33" s="20"/>
      <c r="L33" s="20"/>
      <c r="M33" s="20"/>
      <c r="N33" s="20"/>
      <c r="O33" s="20"/>
      <c r="P33" s="20"/>
    </row>
    <row r="34" spans="1:16" ht="12.75">
      <c r="A34" s="20"/>
      <c r="B34" s="20"/>
      <c r="C34" s="20"/>
      <c r="D34" s="20"/>
      <c r="E34" s="20"/>
      <c r="F34" s="20"/>
      <c r="G34" s="20"/>
      <c r="H34" s="20"/>
      <c r="I34" s="20"/>
      <c r="J34" s="20"/>
      <c r="K34" s="20"/>
      <c r="L34" s="20"/>
      <c r="M34" s="20"/>
      <c r="N34" s="20"/>
      <c r="O34" s="20"/>
      <c r="P34" s="20"/>
    </row>
    <row r="35" spans="1:16" ht="12.75">
      <c r="A35" s="20"/>
      <c r="B35" s="20"/>
      <c r="C35" s="20"/>
      <c r="D35" s="20"/>
      <c r="E35" s="20"/>
      <c r="F35" s="20"/>
      <c r="G35" s="20"/>
      <c r="H35" s="20"/>
      <c r="I35" s="20"/>
      <c r="J35" s="20"/>
      <c r="K35" s="20"/>
      <c r="L35" s="20"/>
      <c r="M35" s="20"/>
      <c r="N35" s="20"/>
      <c r="O35" s="20"/>
      <c r="P35" s="20"/>
    </row>
    <row r="36" spans="1:16" ht="12.75">
      <c r="A36" s="20"/>
      <c r="B36" s="20"/>
      <c r="C36" s="20"/>
      <c r="D36" s="20"/>
      <c r="E36" s="20"/>
      <c r="F36" s="20"/>
      <c r="G36" s="20"/>
      <c r="H36" s="20"/>
      <c r="I36" s="20"/>
      <c r="J36" s="20"/>
      <c r="K36" s="20"/>
      <c r="L36" s="20"/>
      <c r="M36" s="20"/>
      <c r="N36" s="20"/>
      <c r="O36" s="20"/>
      <c r="P36" s="20"/>
    </row>
    <row r="37" spans="1:16" ht="12.75">
      <c r="A37" s="20"/>
      <c r="B37" s="20"/>
      <c r="C37" s="20"/>
      <c r="D37" s="20"/>
      <c r="E37" s="20"/>
      <c r="F37" s="20"/>
      <c r="G37" s="20"/>
      <c r="H37" s="20"/>
      <c r="I37" s="20"/>
      <c r="J37" s="20"/>
      <c r="K37" s="20"/>
      <c r="L37" s="20"/>
      <c r="M37" s="20"/>
      <c r="N37" s="20"/>
      <c r="O37" s="20"/>
      <c r="P37" s="20"/>
    </row>
    <row r="38" spans="1:16" ht="12.75">
      <c r="A38" s="20"/>
      <c r="B38" s="20"/>
      <c r="C38" s="20"/>
      <c r="D38" s="20"/>
      <c r="E38" s="20"/>
      <c r="F38" s="20"/>
      <c r="G38" s="20"/>
      <c r="H38" s="20"/>
      <c r="I38" s="20"/>
      <c r="J38" s="20"/>
      <c r="K38" s="20"/>
      <c r="L38" s="20"/>
      <c r="M38" s="20"/>
      <c r="N38" s="20"/>
      <c r="O38" s="20"/>
      <c r="P38" s="20"/>
    </row>
  </sheetData>
  <mergeCells count="7">
    <mergeCell ref="B14:C15"/>
    <mergeCell ref="B17:C18"/>
    <mergeCell ref="B20:C21"/>
    <mergeCell ref="E2:L2"/>
    <mergeCell ref="B5:C6"/>
    <mergeCell ref="B8:C9"/>
    <mergeCell ref="B11:C12"/>
  </mergeCells>
  <hyperlinks>
    <hyperlink ref="B5:C6" location="'League Summary'!A1" display="League Summary"/>
    <hyperlink ref="B8:C9" location="'League Races Male'!A1" display="Race Results - Male"/>
    <hyperlink ref="B11:C12" location="'League Races Female'!A1" display="Race Results - Female"/>
    <hyperlink ref="B14:C15" location="'Race Analysis'!A1" display="Race Analysis"/>
    <hyperlink ref="B20:C21" location="'Personal Calculator'!A1" display="Performance Calculator"/>
    <hyperlink ref="B17:C18" location="'Personal Analysis'!A1" display="Personal Analysis"/>
  </hyperlinks>
  <printOptions/>
  <pageMargins left="0.75" right="0.75" top="1" bottom="1" header="0.5" footer="0.5"/>
  <pageSetup orientation="portrait" paperSize="9" r:id="rId2"/>
  <drawing r:id="rId1"/>
</worksheet>
</file>

<file path=xl/worksheets/sheet10.xml><?xml version="1.0" encoding="utf-8"?>
<worksheet xmlns="http://schemas.openxmlformats.org/spreadsheetml/2006/main" xmlns:r="http://schemas.openxmlformats.org/officeDocument/2006/relationships">
  <dimension ref="A1:R89"/>
  <sheetViews>
    <sheetView workbookViewId="0" topLeftCell="A65">
      <selection activeCell="O6" sqref="O6"/>
    </sheetView>
  </sheetViews>
  <sheetFormatPr defaultColWidth="9.140625" defaultRowHeight="12.75"/>
  <cols>
    <col min="3" max="3" width="12.00390625" style="0" customWidth="1"/>
    <col min="10" max="10" width="10.7109375" style="0" customWidth="1"/>
  </cols>
  <sheetData>
    <row r="1" spans="2:15" ht="12.75">
      <c r="B1" s="4"/>
      <c r="C1" s="4" t="s">
        <v>6</v>
      </c>
      <c r="D1" s="4"/>
      <c r="E1" s="4"/>
      <c r="F1" s="4"/>
      <c r="G1" s="4"/>
      <c r="H1" s="4"/>
      <c r="I1" s="4"/>
      <c r="J1" s="4"/>
      <c r="K1" s="4"/>
      <c r="L1" s="4"/>
      <c r="M1" s="4"/>
      <c r="N1" s="4"/>
      <c r="O1" s="4"/>
    </row>
    <row r="2" spans="2:15" ht="12.75">
      <c r="B2" s="5" t="s">
        <v>5</v>
      </c>
      <c r="C2" s="5"/>
      <c r="D2" s="5"/>
      <c r="E2" s="5"/>
      <c r="F2" s="5"/>
      <c r="G2" s="5"/>
      <c r="H2" s="5"/>
      <c r="I2" s="5"/>
      <c r="J2" s="5"/>
      <c r="K2" s="5"/>
      <c r="L2" s="5"/>
      <c r="M2" s="5"/>
      <c r="N2" s="5"/>
      <c r="O2" s="5"/>
    </row>
    <row r="3" spans="2:15" ht="12.75">
      <c r="B3" s="5"/>
      <c r="C3" s="10">
        <f>'World Records'!E3</f>
        <v>0.0025810185185185185</v>
      </c>
      <c r="D3" s="10">
        <f>'World Records'!E4</f>
        <v>0.009016203703703703</v>
      </c>
      <c r="E3" s="10">
        <f>'World Records'!E5</f>
        <v>0.0153125</v>
      </c>
      <c r="F3" s="10">
        <f>'World Records'!E6</f>
        <v>0.01537037037037037</v>
      </c>
      <c r="G3" s="10">
        <f>'World Records'!E7</f>
        <v>0.018958333333333334</v>
      </c>
      <c r="H3" s="10">
        <f>'World Records'!E8</f>
        <v>0.028796296296296296</v>
      </c>
      <c r="I3" s="10">
        <f>'World Records'!E9</f>
        <v>0.030833333333333334</v>
      </c>
      <c r="J3" s="10">
        <f>'World Records'!E10</f>
        <v>0.03890046296296296</v>
      </c>
      <c r="K3" s="10">
        <f>'World Records'!E11</f>
        <v>0.041053240740740744</v>
      </c>
      <c r="L3" s="10">
        <f>'World Records'!E12</f>
        <v>0.05052083333333333</v>
      </c>
      <c r="M3" s="10">
        <f>'World Records'!E13</f>
        <v>0.061111111111111116</v>
      </c>
      <c r="N3" s="10">
        <f>'World Records'!E14</f>
        <v>0.06622685185185186</v>
      </c>
      <c r="O3" s="10">
        <f>'World Records'!E15</f>
        <v>0.08674768518518518</v>
      </c>
    </row>
    <row r="4" spans="2:15" ht="12.75">
      <c r="B4" s="4" t="s">
        <v>4</v>
      </c>
      <c r="C4" s="6" t="s">
        <v>39</v>
      </c>
      <c r="D4" s="6" t="s">
        <v>20</v>
      </c>
      <c r="E4" s="6" t="s">
        <v>40</v>
      </c>
      <c r="F4" s="6" t="s">
        <v>21</v>
      </c>
      <c r="G4" s="6" t="s">
        <v>49</v>
      </c>
      <c r="H4" s="6" t="s">
        <v>50</v>
      </c>
      <c r="I4" s="6" t="s">
        <v>25</v>
      </c>
      <c r="J4" s="6" t="s">
        <v>51</v>
      </c>
      <c r="K4" s="6" t="s">
        <v>23</v>
      </c>
      <c r="L4" s="6" t="s">
        <v>52</v>
      </c>
      <c r="M4" s="6" t="s">
        <v>53</v>
      </c>
      <c r="N4" s="6" t="s">
        <v>24</v>
      </c>
      <c r="O4" s="6" t="s">
        <v>54</v>
      </c>
    </row>
    <row r="5" spans="1:15" ht="13.5" customHeight="1">
      <c r="A5" t="str">
        <f>CONCATENATE($B$2,B5)</f>
        <v>Male30</v>
      </c>
      <c r="B5" s="4">
        <v>30</v>
      </c>
      <c r="C5" s="5">
        <f>C$3/'Base Data'!C3</f>
        <v>0.0025810185185185185</v>
      </c>
      <c r="D5" s="5">
        <f>D$3/'Base Data'!D3</f>
        <v>0.009016203703703703</v>
      </c>
      <c r="E5" s="5">
        <f>E$3/'Base Data'!E3</f>
        <v>0.0153125</v>
      </c>
      <c r="F5" s="5">
        <f>F$3/'Base Data'!F3</f>
        <v>0.01537037037037037</v>
      </c>
      <c r="G5" s="5">
        <f>G$3/'Base Data'!G3</f>
        <v>0.018958333333333334</v>
      </c>
      <c r="H5" s="5">
        <f>H$3/'Base Data'!H3</f>
        <v>0.028796296296296296</v>
      </c>
      <c r="I5" s="5">
        <f>I$3/'Base Data'!I3</f>
        <v>0.030833333333333334</v>
      </c>
      <c r="J5" s="5">
        <f>J$3/'Base Data'!J3</f>
        <v>0.03890046296296296</v>
      </c>
      <c r="K5" s="5">
        <f>K$3/'Base Data'!K3</f>
        <v>0.041053240740740744</v>
      </c>
      <c r="L5" s="5">
        <f>L$3/'Base Data'!L3</f>
        <v>0.05052083333333333</v>
      </c>
      <c r="M5" s="5">
        <f>M$3/'Base Data'!M3</f>
        <v>0.061111111111111116</v>
      </c>
      <c r="N5" s="5">
        <f>N$3/'Base Data'!N3</f>
        <v>0.06622685185185186</v>
      </c>
      <c r="O5" s="5">
        <f>O$3/'Base Data'!O3</f>
        <v>0.08674768518518518</v>
      </c>
    </row>
    <row r="6" spans="1:15" ht="12.75">
      <c r="A6" t="str">
        <f aca="true" t="shared" si="0" ref="A6:A45">CONCATENATE($B$2,B6)</f>
        <v>Male31</v>
      </c>
      <c r="B6" s="4">
        <f>B5+1</f>
        <v>31</v>
      </c>
      <c r="C6" s="5">
        <f>C$3/'Base Data'!C4</f>
        <v>0.002600522436794477</v>
      </c>
      <c r="D6" s="5">
        <f>D$3/'Base Data'!D4</f>
        <v>0.00906606707260302</v>
      </c>
      <c r="E6" s="5">
        <f>E$3/'Base Data'!E4</f>
        <v>0.015397184514831573</v>
      </c>
      <c r="F6" s="5">
        <f>F$3/'Base Data'!F4</f>
        <v>0.015455374932499114</v>
      </c>
      <c r="G6" s="5">
        <f>G$3/'Base Data'!G4</f>
        <v>0.01906318082788671</v>
      </c>
      <c r="H6" s="5">
        <f>H$3/'Base Data'!H4</f>
        <v>0.028955551831368824</v>
      </c>
      <c r="I6" s="5">
        <f>I$3/'Base Data'!I4</f>
        <v>0.031003854533266297</v>
      </c>
      <c r="J6" s="5">
        <f>J$3/'Base Data'!J4</f>
        <v>0.03911559875612163</v>
      </c>
      <c r="K6" s="5">
        <f>K$3/'Base Data'!K4</f>
        <v>0.04128028229335419</v>
      </c>
      <c r="L6" s="5">
        <f>L$3/'Base Data'!L4</f>
        <v>0.050800234623764026</v>
      </c>
      <c r="M6" s="5">
        <f>M$3/'Base Data'!M4</f>
        <v>0.061430549970960105</v>
      </c>
      <c r="N6" s="5">
        <f>N$3/'Base Data'!N4</f>
        <v>0.06654423851348769</v>
      </c>
      <c r="O6" s="5">
        <f>O$3/'Base Data'!O4</f>
        <v>0.0869912607151877</v>
      </c>
    </row>
    <row r="7" spans="1:15" ht="12.75">
      <c r="A7" t="str">
        <f t="shared" si="0"/>
        <v>Male32</v>
      </c>
      <c r="B7" s="4">
        <f aca="true" t="shared" si="1" ref="B7:B45">B6+1</f>
        <v>32</v>
      </c>
      <c r="C7" s="5">
        <f>C$3/'Base Data'!C5</f>
        <v>0.0026203233690543335</v>
      </c>
      <c r="D7" s="5">
        <f>D$3/'Base Data'!D5</f>
        <v>0.009116485039134179</v>
      </c>
      <c r="E7" s="5">
        <f>E$3/'Base Data'!E5</f>
        <v>0.015482810920121335</v>
      </c>
      <c r="F7" s="5">
        <f>F$3/'Base Data'!F5</f>
        <v>0.01554132494476276</v>
      </c>
      <c r="G7" s="5">
        <f>G$3/'Base Data'!G5</f>
        <v>0.019169194472531178</v>
      </c>
      <c r="H7" s="5">
        <f>H$3/'Base Data'!H5</f>
        <v>0.029116578661573606</v>
      </c>
      <c r="I7" s="5">
        <f>I$3/'Base Data'!I5</f>
        <v>0.031176272328951805</v>
      </c>
      <c r="J7" s="5">
        <f>J$3/'Base Data'!J5</f>
        <v>0.039333127363966595</v>
      </c>
      <c r="K7" s="5">
        <f>K$3/'Base Data'!K5</f>
        <v>0.04150984908062765</v>
      </c>
      <c r="L7" s="5">
        <f>L$3/'Base Data'!L5</f>
        <v>0.05108274351196494</v>
      </c>
      <c r="M7" s="5">
        <f>M$3/'Base Data'!M5</f>
        <v>0.061747106306063566</v>
      </c>
      <c r="N7" s="5">
        <f>N$3/'Base Data'!N5</f>
        <v>0.06685914228697759</v>
      </c>
      <c r="O7" s="5">
        <f>O$3/'Base Data'!O5</f>
        <v>0.08723620794970352</v>
      </c>
    </row>
    <row r="8" spans="1:15" ht="12.75">
      <c r="A8" t="str">
        <f t="shared" si="0"/>
        <v>Male33</v>
      </c>
      <c r="B8" s="4">
        <f t="shared" si="1"/>
        <v>33</v>
      </c>
      <c r="C8" s="5">
        <f>C$3/'Base Data'!C6</f>
        <v>0.0026404281519371033</v>
      </c>
      <c r="D8" s="5">
        <f>D$3/'Base Data'!D6</f>
        <v>0.00916839912924924</v>
      </c>
      <c r="E8" s="5">
        <f>E$3/'Base Data'!E6</f>
        <v>0.015570978238763472</v>
      </c>
      <c r="F8" s="5">
        <f>F$3/'Base Data'!F6</f>
        <v>0.01562982547322592</v>
      </c>
      <c r="G8" s="5">
        <f>G$3/'Base Data'!G6</f>
        <v>0.019278354009897632</v>
      </c>
      <c r="H8" s="5">
        <f>H$3/'Base Data'!H6</f>
        <v>0.02928238386851362</v>
      </c>
      <c r="I8" s="5">
        <f>I$3/'Base Data'!I6</f>
        <v>0.031353806521591754</v>
      </c>
      <c r="J8" s="5">
        <f>J$3/'Base Data'!J6</f>
        <v>0.03955711100565686</v>
      </c>
      <c r="K8" s="5">
        <f>K$3/'Base Data'!K6</f>
        <v>0.0417462281276599</v>
      </c>
      <c r="L8" s="5">
        <f>L$3/'Base Data'!L6</f>
        <v>0.051373635685716214</v>
      </c>
      <c r="M8" s="5">
        <f>M$3/'Base Data'!M6</f>
        <v>0.062073246430788334</v>
      </c>
      <c r="N8" s="5">
        <f>N$3/'Base Data'!N6</f>
        <v>0.0671838554138986</v>
      </c>
      <c r="O8" s="5">
        <f>O$3/'Base Data'!O6</f>
        <v>0.08749136176014642</v>
      </c>
    </row>
    <row r="9" spans="1:15" ht="12.75">
      <c r="A9" t="str">
        <f t="shared" si="0"/>
        <v>Male34</v>
      </c>
      <c r="B9" s="4">
        <f t="shared" si="1"/>
        <v>34</v>
      </c>
      <c r="C9" s="5">
        <f>C$3/'Base Data'!C7</f>
        <v>0.002660843833524246</v>
      </c>
      <c r="D9" s="5">
        <f>D$3/'Base Data'!D7</f>
        <v>0.009219964928626345</v>
      </c>
      <c r="E9" s="5">
        <f>E$3/'Base Data'!E7</f>
        <v>0.015658554044380817</v>
      </c>
      <c r="F9" s="5">
        <f>F$3/'Base Data'!F7</f>
        <v>0.015717732253165324</v>
      </c>
      <c r="G9" s="5">
        <f>G$3/'Base Data'!G7</f>
        <v>0.01938678119780482</v>
      </c>
      <c r="H9" s="5">
        <f>H$3/'Base Data'!H7</f>
        <v>0.02944707669117118</v>
      </c>
      <c r="I9" s="5">
        <f>I$3/'Base Data'!I7</f>
        <v>0.03153014964038586</v>
      </c>
      <c r="J9" s="5">
        <f>J$3/'Base Data'!J7</f>
        <v>0.03977959194494628</v>
      </c>
      <c r="K9" s="5">
        <f>K$3/'Base Data'!K7</f>
        <v>0.041981021311729975</v>
      </c>
      <c r="L9" s="5">
        <f>L$3/'Base Data'!L7</f>
        <v>0.05166257626887548</v>
      </c>
      <c r="M9" s="5">
        <f>M$3/'Base Data'!M7</f>
        <v>0.062396478569645815</v>
      </c>
      <c r="N9" s="5">
        <f>N$3/'Base Data'!N7</f>
        <v>0.06750485653229632</v>
      </c>
      <c r="O9" s="5">
        <f>O$3/'Base Data'!O7</f>
        <v>0.08773913743823726</v>
      </c>
    </row>
    <row r="10" spans="1:15" ht="12.75">
      <c r="A10" t="str">
        <f t="shared" si="0"/>
        <v>Male35</v>
      </c>
      <c r="B10" s="4">
        <f t="shared" si="1"/>
        <v>35</v>
      </c>
      <c r="C10" s="5">
        <f>C$3/'Base Data'!C8</f>
        <v>0.0026815776815776815</v>
      </c>
      <c r="D10" s="5">
        <f>D$3/'Base Data'!D8</f>
        <v>0.009272114051525816</v>
      </c>
      <c r="E10" s="5">
        <f>E$3/'Base Data'!E8</f>
        <v>0.01574712052653229</v>
      </c>
      <c r="F10" s="5">
        <f>F$3/'Base Data'!F8</f>
        <v>0.015806633453692275</v>
      </c>
      <c r="G10" s="5">
        <f>G$3/'Base Data'!G8</f>
        <v>0.01949643493761141</v>
      </c>
      <c r="H10" s="5">
        <f>H$3/'Base Data'!H8</f>
        <v>0.029613632554809022</v>
      </c>
      <c r="I10" s="5">
        <f>I$3/'Base Data'!I8</f>
        <v>0.03170848759084053</v>
      </c>
      <c r="J10" s="5">
        <f>J$3/'Base Data'!J8</f>
        <v>0.040004589636942575</v>
      </c>
      <c r="K10" s="5">
        <f>K$3/'Base Data'!K8</f>
        <v>0.04221847052729406</v>
      </c>
      <c r="L10" s="5">
        <f>L$3/'Base Data'!L8</f>
        <v>0.05195478541066775</v>
      </c>
      <c r="M10" s="5">
        <f>M$3/'Base Data'!M8</f>
        <v>0.06272953306416662</v>
      </c>
      <c r="N10" s="5">
        <f>N$3/'Base Data'!N8</f>
        <v>0.06783464134563393</v>
      </c>
      <c r="O10" s="5">
        <f>O$3/'Base Data'!O8</f>
        <v>0.08798832050429575</v>
      </c>
    </row>
    <row r="11" spans="1:15" ht="12.75">
      <c r="A11" t="str">
        <f t="shared" si="0"/>
        <v>Male36</v>
      </c>
      <c r="B11" s="4">
        <f t="shared" si="1"/>
        <v>36</v>
      </c>
      <c r="C11" s="5">
        <f>C$3/'Base Data'!C9</f>
        <v>0.0026978347637906536</v>
      </c>
      <c r="D11" s="5">
        <f>D$3/'Base Data'!D9</f>
        <v>0.00932775057283644</v>
      </c>
      <c r="E11" s="5">
        <f>E$3/'Base Data'!E9</f>
        <v>0.01584160976619077</v>
      </c>
      <c r="F11" s="5">
        <f>F$3/'Base Data'!F9</f>
        <v>0.015901479795541455</v>
      </c>
      <c r="G11" s="5">
        <f>G$3/'Base Data'!G9</f>
        <v>0.019613421615283812</v>
      </c>
      <c r="H11" s="5">
        <f>H$3/'Base Data'!H9</f>
        <v>0.029791326604899953</v>
      </c>
      <c r="I11" s="5">
        <f>I$3/'Base Data'!I9</f>
        <v>0.031898751638044</v>
      </c>
      <c r="J11" s="5">
        <f>J$3/'Base Data'!J9</f>
        <v>0.04024463372952924</v>
      </c>
      <c r="K11" s="5">
        <f>K$3/'Base Data'!K9</f>
        <v>0.042471798821374654</v>
      </c>
      <c r="L11" s="5">
        <f>L$3/'Base Data'!L9</f>
        <v>0.05226653562314642</v>
      </c>
      <c r="M11" s="5">
        <f>M$3/'Base Data'!M9</f>
        <v>0.06310523658726881</v>
      </c>
      <c r="N11" s="5">
        <f>N$3/'Base Data'!N9</f>
        <v>0.06824130335620993</v>
      </c>
      <c r="O11" s="5">
        <f>O$3/'Base Data'!O9</f>
        <v>0.08851804610733181</v>
      </c>
    </row>
    <row r="12" spans="1:15" ht="12.75">
      <c r="A12" t="str">
        <f t="shared" si="0"/>
        <v>Male37</v>
      </c>
      <c r="B12" s="4">
        <f t="shared" si="1"/>
        <v>37</v>
      </c>
      <c r="C12" s="5">
        <f>C$3/'Base Data'!C10</f>
        <v>0.0027142901656520336</v>
      </c>
      <c r="D12" s="5">
        <f>D$3/'Base Data'!D10</f>
        <v>0.009384058809017177</v>
      </c>
      <c r="E12" s="5">
        <f>E$3/'Base Data'!E10</f>
        <v>0.01593723980016653</v>
      </c>
      <c r="F12" s="5">
        <f>F$3/'Base Data'!F10</f>
        <v>0.015997471243099887</v>
      </c>
      <c r="G12" s="5">
        <f>G$3/'Base Data'!G10</f>
        <v>0.019731820704968085</v>
      </c>
      <c r="H12" s="5">
        <f>H$3/'Base Data'!H10</f>
        <v>0.029971166003638944</v>
      </c>
      <c r="I12" s="5">
        <f>I$3/'Base Data'!I10</f>
        <v>0.03209131279489315</v>
      </c>
      <c r="J12" s="5">
        <f>J$3/'Base Data'!J10</f>
        <v>0.040487575939803254</v>
      </c>
      <c r="K12" s="5">
        <f>K$3/'Base Data'!K10</f>
        <v>0.04272818561692417</v>
      </c>
      <c r="L12" s="5">
        <f>L$3/'Base Data'!L10</f>
        <v>0.05258204968082153</v>
      </c>
      <c r="M12" s="5">
        <f>M$3/'Base Data'!M10</f>
        <v>0.0634920634920635</v>
      </c>
      <c r="N12" s="5">
        <f>N$3/'Base Data'!N10</f>
        <v>0.06865871144622974</v>
      </c>
      <c r="O12" s="5">
        <f>O$3/'Base Data'!O10</f>
        <v>0.0890541886717844</v>
      </c>
    </row>
    <row r="13" spans="1:15" ht="12.75">
      <c r="A13" t="str">
        <f t="shared" si="0"/>
        <v>Male38</v>
      </c>
      <c r="B13" s="4">
        <f t="shared" si="1"/>
        <v>38</v>
      </c>
      <c r="C13" s="5">
        <f>C$3/'Base Data'!C11</f>
        <v>0.0027309475383753236</v>
      </c>
      <c r="D13" s="5">
        <f>D$3/'Base Data'!D11</f>
        <v>0.009442039693898526</v>
      </c>
      <c r="E13" s="5">
        <f>E$3/'Base Data'!E11</f>
        <v>0.01603571054560687</v>
      </c>
      <c r="F13" s="5">
        <f>F$3/'Base Data'!F11</f>
        <v>0.016096314137993895</v>
      </c>
      <c r="G13" s="5">
        <f>G$3/'Base Data'!G11</f>
        <v>0.019853736865989458</v>
      </c>
      <c r="H13" s="5">
        <f>H$3/'Base Data'!H11</f>
        <v>0.030156347571783742</v>
      </c>
      <c r="I13" s="5">
        <f>I$3/'Base Data'!I11</f>
        <v>0.03228959402380703</v>
      </c>
      <c r="J13" s="5">
        <f>J$3/'Base Data'!J11</f>
        <v>0.040737734802558344</v>
      </c>
      <c r="K13" s="5">
        <f>K$3/'Base Data'!K11</f>
        <v>0.042992188439355684</v>
      </c>
      <c r="L13" s="5">
        <f>L$3/'Base Data'!L11</f>
        <v>0.052906936153873</v>
      </c>
      <c r="M13" s="5">
        <f>M$3/'Base Data'!M11</f>
        <v>0.06388366204381259</v>
      </c>
      <c r="N13" s="5">
        <f>N$3/'Base Data'!N11</f>
        <v>0.06908254963942285</v>
      </c>
      <c r="O13" s="5">
        <f>O$3/'Base Data'!O11</f>
        <v>0.0896061204268001</v>
      </c>
    </row>
    <row r="14" spans="1:15" ht="12.75">
      <c r="A14" t="str">
        <f t="shared" si="0"/>
        <v>Male39</v>
      </c>
      <c r="B14" s="4">
        <f t="shared" si="1"/>
        <v>39</v>
      </c>
      <c r="C14" s="5">
        <f>C$3/'Base Data'!C12</f>
        <v>0.00274810319263045</v>
      </c>
      <c r="D14" s="5">
        <f>D$3/'Base Data'!D12</f>
        <v>0.009500741521289467</v>
      </c>
      <c r="E14" s="5">
        <f>E$3/'Base Data'!E12</f>
        <v>0.01613540569020021</v>
      </c>
      <c r="F14" s="5">
        <f>F$3/'Base Data'!F12</f>
        <v>0.016196386059399756</v>
      </c>
      <c r="G14" s="5">
        <f>G$3/'Base Data'!G12</f>
        <v>0.019977168949771692</v>
      </c>
      <c r="H14" s="5">
        <f>H$3/'Base Data'!H12</f>
        <v>0.030343831713694727</v>
      </c>
      <c r="I14" s="5">
        <f>I$3/'Base Data'!I12</f>
        <v>0.0324903407095188</v>
      </c>
      <c r="J14" s="5">
        <f>J$3/'Base Data'!J12</f>
        <v>0.04099100417593569</v>
      </c>
      <c r="K14" s="5">
        <f>K$3/'Base Data'!K12</f>
        <v>0.04325947391015885</v>
      </c>
      <c r="L14" s="5">
        <f>L$3/'Base Data'!L12</f>
        <v>0.05323586231120477</v>
      </c>
      <c r="M14" s="5">
        <f>M$3/'Base Data'!M12</f>
        <v>0.06428688313813498</v>
      </c>
      <c r="N14" s="5">
        <f>N$3/'Base Data'!N12</f>
        <v>0.06951764106430745</v>
      </c>
      <c r="O14" s="5">
        <f>O$3/'Base Data'!O12</f>
        <v>0.09016493626981102</v>
      </c>
    </row>
    <row r="15" spans="1:15" ht="12.75">
      <c r="A15" t="str">
        <f t="shared" si="0"/>
        <v>Male40</v>
      </c>
      <c r="B15" s="4">
        <f t="shared" si="1"/>
        <v>40</v>
      </c>
      <c r="C15" s="5">
        <f>C$3/'Base Data'!C13</f>
        <v>0.0027654757511180956</v>
      </c>
      <c r="D15" s="5">
        <f>D$3/'Base Data'!D13</f>
        <v>0.009561191626409019</v>
      </c>
      <c r="E15" s="5">
        <f>E$3/'Base Data'!E13</f>
        <v>0.016238069989395545</v>
      </c>
      <c r="F15" s="5">
        <f>F$3/'Base Data'!F13</f>
        <v>0.016299438356702407</v>
      </c>
      <c r="G15" s="5">
        <f>G$3/'Base Data'!G13</f>
        <v>0.020104277129727822</v>
      </c>
      <c r="H15" s="5">
        <f>H$3/'Base Data'!H13</f>
        <v>0.03053689957189427</v>
      </c>
      <c r="I15" s="5">
        <f>I$3/'Base Data'!I13</f>
        <v>0.032697066101095795</v>
      </c>
      <c r="J15" s="5">
        <f>J$3/'Base Data'!J13</f>
        <v>0.04125181650367229</v>
      </c>
      <c r="K15" s="5">
        <f>K$3/'Base Data'!K13</f>
        <v>0.04353471976748754</v>
      </c>
      <c r="L15" s="5">
        <f>L$3/'Base Data'!L13</f>
        <v>0.05357458465889006</v>
      </c>
      <c r="M15" s="5">
        <f>M$3/'Base Data'!M13</f>
        <v>0.06469522666854871</v>
      </c>
      <c r="N15" s="5">
        <f>N$3/'Base Data'!N13</f>
        <v>0.06995957317971344</v>
      </c>
      <c r="O15" s="5">
        <f>O$3/'Base Data'!O13</f>
        <v>0.09074025646985898</v>
      </c>
    </row>
    <row r="16" spans="1:15" ht="12.75">
      <c r="A16" t="str">
        <f t="shared" si="0"/>
        <v>Male41</v>
      </c>
      <c r="B16" s="4">
        <f>B15+1</f>
        <v>41</v>
      </c>
      <c r="C16" s="5">
        <f>C$3/'Base Data'!C14</f>
        <v>0.002783069353589086</v>
      </c>
      <c r="D16" s="5">
        <f>D$3/'Base Data'!D14</f>
        <v>0.009622415905767026</v>
      </c>
      <c r="E16" s="5">
        <f>E$3/'Base Data'!E14</f>
        <v>0.016342049092849517</v>
      </c>
      <c r="F16" s="5">
        <f>F$3/'Base Data'!F14</f>
        <v>0.016403810427289615</v>
      </c>
      <c r="G16" s="5">
        <f>G$3/'Base Data'!G14</f>
        <v>0.020233013162575596</v>
      </c>
      <c r="H16" s="5">
        <f>H$3/'Base Data'!H14</f>
        <v>0.03073244001739199</v>
      </c>
      <c r="I16" s="5">
        <f>I$3/'Base Data'!I14</f>
        <v>0.03290643898968339</v>
      </c>
      <c r="J16" s="5">
        <f>J$3/'Base Data'!J14</f>
        <v>0.04151596901063283</v>
      </c>
      <c r="K16" s="5">
        <f>K$3/'Base Data'!K14</f>
        <v>0.04381349065180442</v>
      </c>
      <c r="L16" s="5">
        <f>L$3/'Base Data'!L14</f>
        <v>0.05391764496620419</v>
      </c>
      <c r="M16" s="5">
        <f>M$3/'Base Data'!M14</f>
        <v>0.06510879087056373</v>
      </c>
      <c r="N16" s="5">
        <f>N$3/'Base Data'!N14</f>
        <v>0.07040581763920481</v>
      </c>
      <c r="O16" s="5">
        <f>O$3/'Base Data'!O14</f>
        <v>0.09131335282651072</v>
      </c>
    </row>
    <row r="17" spans="1:15" ht="12.75">
      <c r="A17" t="str">
        <f t="shared" si="0"/>
        <v>Male42</v>
      </c>
      <c r="B17" s="4">
        <f t="shared" si="1"/>
        <v>42</v>
      </c>
      <c r="C17" s="5">
        <f>C$3/'Base Data'!C15</f>
        <v>0.0028011922276085506</v>
      </c>
      <c r="D17" s="5">
        <f>D$3/'Base Data'!D15</f>
        <v>0.00968442932728647</v>
      </c>
      <c r="E17" s="5">
        <f>E$3/'Base Data'!E15</f>
        <v>0.01644736842105263</v>
      </c>
      <c r="F17" s="5">
        <f>F$3/'Base Data'!F15</f>
        <v>0.016509527787723275</v>
      </c>
      <c r="G17" s="5">
        <f>G$3/'Base Data'!G15</f>
        <v>0.020363408521303257</v>
      </c>
      <c r="H17" s="5">
        <f>H$3/'Base Data'!H15</f>
        <v>0.030930500855312883</v>
      </c>
      <c r="I17" s="5">
        <f>I$3/'Base Data'!I15</f>
        <v>0.033118510562119584</v>
      </c>
      <c r="J17" s="5">
        <f>J$3/'Base Data'!J15</f>
        <v>0.041783526276007475</v>
      </c>
      <c r="K17" s="5">
        <f>K$3/'Base Data'!K15</f>
        <v>0.04409585471615547</v>
      </c>
      <c r="L17" s="5">
        <f>L$3/'Base Data'!L15</f>
        <v>0.054265127103472956</v>
      </c>
      <c r="M17" s="5">
        <f>M$3/'Base Data'!M15</f>
        <v>0.06552767650773227</v>
      </c>
      <c r="N17" s="5">
        <f>N$3/'Base Data'!N15</f>
        <v>0.07086051098598381</v>
      </c>
      <c r="O17" s="5">
        <f>O$3/'Base Data'!O15</f>
        <v>0.09191320744351048</v>
      </c>
    </row>
    <row r="18" spans="1:15" ht="12.75">
      <c r="A18" t="str">
        <f t="shared" si="0"/>
        <v>Male43</v>
      </c>
      <c r="B18" s="4">
        <f t="shared" si="1"/>
        <v>43</v>
      </c>
      <c r="C18" s="5">
        <f>C$3/'Base Data'!C16</f>
        <v>0.0028195526748072083</v>
      </c>
      <c r="D18" s="5">
        <f>D$3/'Base Data'!D16</f>
        <v>0.009748301117638343</v>
      </c>
      <c r="E18" s="5">
        <f>E$3/'Base Data'!E16</f>
        <v>0.016555843875013514</v>
      </c>
      <c r="F18" s="5">
        <f>F$3/'Base Data'!F16</f>
        <v>0.016618413201827623</v>
      </c>
      <c r="G18" s="5">
        <f>G$3/'Base Data'!G16</f>
        <v>0.020497711464302446</v>
      </c>
      <c r="H18" s="5">
        <f>H$3/'Base Data'!H16</f>
        <v>0.03113449702270115</v>
      </c>
      <c r="I18" s="5">
        <f>I$3/'Base Data'!I16</f>
        <v>0.033336937326557826</v>
      </c>
      <c r="J18" s="5">
        <f>J$3/'Base Data'!J16</f>
        <v>0.042059101484444764</v>
      </c>
      <c r="K18" s="5">
        <f>K$3/'Base Data'!K16</f>
        <v>0.04438668044192966</v>
      </c>
      <c r="L18" s="5">
        <f>L$3/'Base Data'!L16</f>
        <v>0.05462302230871805</v>
      </c>
      <c r="M18" s="5">
        <f>M$3/'Base Data'!M16</f>
        <v>0.06595910535468011</v>
      </c>
      <c r="N18" s="5">
        <f>N$3/'Base Data'!N16</f>
        <v>0.07132604147073085</v>
      </c>
      <c r="O18" s="5">
        <f>O$3/'Base Data'!O16</f>
        <v>0.09251112849011964</v>
      </c>
    </row>
    <row r="19" spans="1:15" ht="12.75">
      <c r="A19" t="str">
        <f t="shared" si="0"/>
        <v>Male44</v>
      </c>
      <c r="B19" s="4">
        <f t="shared" si="1"/>
        <v>44</v>
      </c>
      <c r="C19" s="5">
        <f>C$3/'Base Data'!C17</f>
        <v>0.002838467522840117</v>
      </c>
      <c r="D19" s="5">
        <f>D$3/'Base Data'!D17</f>
        <v>0.009814089151740181</v>
      </c>
      <c r="E19" s="5">
        <f>E$3/'Base Data'!E17</f>
        <v>0.01666757374550996</v>
      </c>
      <c r="F19" s="5">
        <f>F$3/'Base Data'!F17</f>
        <v>0.016730565331849755</v>
      </c>
      <c r="G19" s="5">
        <f>G$3/'Base Data'!G17</f>
        <v>0.020636043684917095</v>
      </c>
      <c r="H19" s="5">
        <f>H$3/'Base Data'!H17</f>
        <v>0.03134461336268237</v>
      </c>
      <c r="I19" s="5">
        <f>I$3/'Base Data'!I17</f>
        <v>0.033561917201843185</v>
      </c>
      <c r="J19" s="5">
        <f>J$3/'Base Data'!J17</f>
        <v>0.04234294433761072</v>
      </c>
      <c r="K19" s="5">
        <f>K$3/'Base Data'!K17</f>
        <v>0.04468623134945112</v>
      </c>
      <c r="L19" s="5">
        <f>L$3/'Base Data'!L17</f>
        <v>0.0549916548746417</v>
      </c>
      <c r="M19" s="5">
        <f>M$3/'Base Data'!M17</f>
        <v>0.06640346746833763</v>
      </c>
      <c r="N19" s="5">
        <f>N$3/'Base Data'!N17</f>
        <v>0.07180691008369582</v>
      </c>
      <c r="O19" s="5">
        <f>O$3/'Base Data'!O17</f>
        <v>0.09313687479620483</v>
      </c>
    </row>
    <row r="20" spans="1:15" ht="12.75">
      <c r="A20" t="str">
        <f t="shared" si="0"/>
        <v>Male45</v>
      </c>
      <c r="B20" s="4">
        <f t="shared" si="1"/>
        <v>45</v>
      </c>
      <c r="C20" s="5">
        <f>C$3/'Base Data'!C18</f>
        <v>0.002857954289135775</v>
      </c>
      <c r="D20" s="5">
        <f>D$3/'Base Data'!D18</f>
        <v>0.009880771182141045</v>
      </c>
      <c r="E20" s="5">
        <f>E$3/'Base Data'!E18</f>
        <v>0.01678082191780822</v>
      </c>
      <c r="F20" s="5">
        <f>F$3/'Base Data'!F18</f>
        <v>0.01684424150177575</v>
      </c>
      <c r="G20" s="5">
        <f>G$3/'Base Data'!G18</f>
        <v>0.020776255707762557</v>
      </c>
      <c r="H20" s="5">
        <f>H$3/'Base Data'!H18</f>
        <v>0.031557584982242516</v>
      </c>
      <c r="I20" s="5">
        <f>I$3/'Base Data'!I18</f>
        <v>0.033789954337899546</v>
      </c>
      <c r="J20" s="5">
        <f>J$3/'Base Data'!J18</f>
        <v>0.04263064434297311</v>
      </c>
      <c r="K20" s="5">
        <f>K$3/'Base Data'!K18</f>
        <v>0.0449898528665652</v>
      </c>
      <c r="L20" s="5">
        <f>L$3/'Base Data'!L18</f>
        <v>0.055365296803652965</v>
      </c>
      <c r="M20" s="5">
        <f>M$3/'Base Data'!M18</f>
        <v>0.06685385746757588</v>
      </c>
      <c r="N20" s="5">
        <f>N$3/'Base Data'!N18</f>
        <v>0.07229430658313794</v>
      </c>
      <c r="O20" s="5">
        <f>O$3/'Base Data'!O18</f>
        <v>0.0937711438603234</v>
      </c>
    </row>
    <row r="21" spans="1:15" ht="12.75">
      <c r="A21" t="str">
        <f t="shared" si="0"/>
        <v>Male46</v>
      </c>
      <c r="B21" s="4">
        <f t="shared" si="1"/>
        <v>46</v>
      </c>
      <c r="C21" s="5">
        <f>C$3/'Base Data'!C19</f>
        <v>0.002877068909283824</v>
      </c>
      <c r="D21" s="5">
        <f>D$3/'Base Data'!D19</f>
        <v>0.009947267987316532</v>
      </c>
      <c r="E21" s="5">
        <f>E$3/'Base Data'!E19</f>
        <v>0.01689375551632833</v>
      </c>
      <c r="F21" s="5">
        <f>F$3/'Base Data'!F19</f>
        <v>0.01695760190905822</v>
      </c>
      <c r="G21" s="5">
        <f>G$3/'Base Data'!G19</f>
        <v>0.02091607825831127</v>
      </c>
      <c r="H21" s="5">
        <f>H$3/'Base Data'!H19</f>
        <v>0.0317699650223922</v>
      </c>
      <c r="I21" s="5">
        <f>I$3/'Base Data'!I19</f>
        <v>0.03401735804648426</v>
      </c>
      <c r="J21" s="5">
        <f>J$3/'Base Data'!J19</f>
        <v>0.04291754519303063</v>
      </c>
      <c r="K21" s="5">
        <f>K$3/'Base Data'!K19</f>
        <v>0.04529263100258246</v>
      </c>
      <c r="L21" s="5">
        <f>L$3/'Base Data'!L19</f>
        <v>0.05573790085319211</v>
      </c>
      <c r="M21" s="5">
        <f>M$3/'Base Data'!M19</f>
        <v>0.06729557439831639</v>
      </c>
      <c r="N21" s="5">
        <f>N$3/'Base Data'!N19</f>
        <v>0.07277236832609954</v>
      </c>
      <c r="O21" s="5">
        <f>O$3/'Base Data'!O19</f>
        <v>0.09439356385765525</v>
      </c>
    </row>
    <row r="22" spans="1:15" ht="12.75">
      <c r="A22" t="str">
        <f t="shared" si="0"/>
        <v>Male47</v>
      </c>
      <c r="B22" s="4">
        <f t="shared" si="1"/>
        <v>47</v>
      </c>
      <c r="C22" s="5">
        <f>C$3/'Base Data'!C20</f>
        <v>0.0028967660140499646</v>
      </c>
      <c r="D22" s="5">
        <f>D$3/'Base Data'!D20</f>
        <v>0.01001577838669596</v>
      </c>
      <c r="E22" s="5">
        <f>E$3/'Base Data'!E20</f>
        <v>0.017010108864696734</v>
      </c>
      <c r="F22" s="5">
        <f>F$3/'Base Data'!F20</f>
        <v>0.01707439499041365</v>
      </c>
      <c r="G22" s="5">
        <f>G$3/'Base Data'!G20</f>
        <v>0.021060134784862624</v>
      </c>
      <c r="H22" s="5">
        <f>H$3/'Base Data'!H20</f>
        <v>0.031988776156738834</v>
      </c>
      <c r="I22" s="5">
        <f>I$3/'Base Data'!I20</f>
        <v>0.03425164778197438</v>
      </c>
      <c r="J22" s="5">
        <f>J$3/'Base Data'!J20</f>
        <v>0.04321313370691287</v>
      </c>
      <c r="K22" s="5">
        <f>K$3/'Base Data'!K20</f>
        <v>0.04560457758358225</v>
      </c>
      <c r="L22" s="5">
        <f>L$3/'Base Data'!L20</f>
        <v>0.05612178775087017</v>
      </c>
      <c r="M22" s="5">
        <f>M$3/'Base Data'!M20</f>
        <v>0.06776570316157808</v>
      </c>
      <c r="N22" s="5">
        <f>N$3/'Base Data'!N20</f>
        <v>0.07327965842233324</v>
      </c>
      <c r="O22" s="5">
        <f>O$3/'Base Data'!O20</f>
        <v>0.09504512455920366</v>
      </c>
    </row>
    <row r="23" spans="1:15" ht="12.75">
      <c r="A23" t="str">
        <f t="shared" si="0"/>
        <v>Male48</v>
      </c>
      <c r="B23" s="4">
        <f t="shared" si="1"/>
        <v>48</v>
      </c>
      <c r="C23" s="5">
        <f>C$3/'Base Data'!C21</f>
        <v>0.002917723850913993</v>
      </c>
      <c r="D23" s="5">
        <f>D$3/'Base Data'!D21</f>
        <v>0.010087495752633367</v>
      </c>
      <c r="E23" s="5">
        <f>E$3/'Base Data'!E21</f>
        <v>0.017131908704408144</v>
      </c>
      <c r="F23" s="5">
        <f>F$3/'Base Data'!F21</f>
        <v>0.017196655146979604</v>
      </c>
      <c r="G23" s="5">
        <f>G$3/'Base Data'!G21</f>
        <v>0.021210934586410084</v>
      </c>
      <c r="H23" s="5">
        <f>H$3/'Base Data'!H21</f>
        <v>0.03221782982355817</v>
      </c>
      <c r="I23" s="5">
        <f>I$3/'Base Data'!I21</f>
        <v>0.034496904602073546</v>
      </c>
      <c r="J23" s="5">
        <f>J$3/'Base Data'!J21</f>
        <v>0.04352255869653498</v>
      </c>
      <c r="K23" s="5">
        <f>K$3/'Base Data'!K21</f>
        <v>0.04593112636019327</v>
      </c>
      <c r="L23" s="5">
        <f>L$3/'Base Data'!L21</f>
        <v>0.05652364436488401</v>
      </c>
      <c r="M23" s="5">
        <f>M$3/'Base Data'!M21</f>
        <v>0.06825006825006825</v>
      </c>
      <c r="N23" s="5">
        <f>N$3/'Base Data'!N21</f>
        <v>0.07380524445799252</v>
      </c>
      <c r="O23" s="5">
        <f>O$3/'Base Data'!O21</f>
        <v>0.0957374298479033</v>
      </c>
    </row>
    <row r="24" spans="1:15" ht="12.75">
      <c r="A24" t="str">
        <f t="shared" si="0"/>
        <v>Male49</v>
      </c>
      <c r="B24" s="4">
        <f t="shared" si="1"/>
        <v>49</v>
      </c>
      <c r="C24" s="5">
        <f>C$3/'Base Data'!C22</f>
        <v>0.0029393218523158164</v>
      </c>
      <c r="D24" s="5">
        <f>D$3/'Base Data'!D22</f>
        <v>0.010162537988845474</v>
      </c>
      <c r="E24" s="5">
        <f>E$3/'Base Data'!E22</f>
        <v>0.017259355275022543</v>
      </c>
      <c r="F24" s="5">
        <f>F$3/'Base Data'!F22</f>
        <v>0.017324583375079316</v>
      </c>
      <c r="G24" s="5">
        <f>G$3/'Base Data'!G22</f>
        <v>0.02136872557859934</v>
      </c>
      <c r="H24" s="5">
        <f>H$3/'Base Data'!H22</f>
        <v>0.03245750258825101</v>
      </c>
      <c r="I24" s="5">
        <f>I$3/'Base Data'!I22</f>
        <v>0.034753531710249475</v>
      </c>
      <c r="J24" s="5">
        <f>J$3/'Base Data'!J22</f>
        <v>0.04384632885816384</v>
      </c>
      <c r="K24" s="5">
        <f>K$3/'Base Data'!K22</f>
        <v>0.04627281418027586</v>
      </c>
      <c r="L24" s="5">
        <f>L$3/'Base Data'!L22</f>
        <v>0.056944131349564164</v>
      </c>
      <c r="M24" s="5">
        <f>M$3/'Base Data'!M22</f>
        <v>0.06875687568756876</v>
      </c>
      <c r="N24" s="5">
        <f>N$3/'Base Data'!N22</f>
        <v>0.07435212241389817</v>
      </c>
      <c r="O24" s="5">
        <f>O$3/'Base Data'!O22</f>
        <v>0.09643989459164556</v>
      </c>
    </row>
    <row r="25" spans="1:15" ht="12.75">
      <c r="A25" t="str">
        <f t="shared" si="0"/>
        <v>Male50</v>
      </c>
      <c r="B25" s="4">
        <f t="shared" si="1"/>
        <v>50</v>
      </c>
      <c r="C25" s="5">
        <f>C$3/'Base Data'!C23</f>
        <v>0.0029619216416324518</v>
      </c>
      <c r="D25" s="5">
        <f>D$3/'Base Data'!D23</f>
        <v>0.010241031012839281</v>
      </c>
      <c r="E25" s="5">
        <f>E$3/'Base Data'!E23</f>
        <v>0.017392662426169922</v>
      </c>
      <c r="F25" s="5">
        <f>F$3/'Base Data'!F23</f>
        <v>0.017458394332542447</v>
      </c>
      <c r="G25" s="5">
        <f>G$3/'Base Data'!G23</f>
        <v>0.021533772527638953</v>
      </c>
      <c r="H25" s="5">
        <f>H$3/'Base Data'!H23</f>
        <v>0.03270819661096808</v>
      </c>
      <c r="I25" s="5">
        <f>I$3/'Base Data'!I23</f>
        <v>0.03502195971528094</v>
      </c>
      <c r="J25" s="5">
        <f>J$3/'Base Data'!J23</f>
        <v>0.04418498746361082</v>
      </c>
      <c r="K25" s="5">
        <f>K$3/'Base Data'!K23</f>
        <v>0.04663021438066873</v>
      </c>
      <c r="L25" s="5">
        <f>L$3/'Base Data'!L23</f>
        <v>0.05738395426321369</v>
      </c>
      <c r="M25" s="5">
        <f>M$3/'Base Data'!M23</f>
        <v>0.06928697404887882</v>
      </c>
      <c r="N25" s="5">
        <f>N$3/'Base Data'!N23</f>
        <v>0.07492563446478863</v>
      </c>
      <c r="O25" s="5">
        <f>O$3/'Base Data'!O23</f>
        <v>0.0971853968016863</v>
      </c>
    </row>
    <row r="26" spans="1:15" ht="12.75">
      <c r="A26" t="str">
        <f t="shared" si="0"/>
        <v>Male51</v>
      </c>
      <c r="B26" s="4">
        <f t="shared" si="1"/>
        <v>51</v>
      </c>
      <c r="C26" s="5">
        <f>C$3/'Base Data'!C24</f>
        <v>0.002985216884707979</v>
      </c>
      <c r="D26" s="5">
        <f>D$3/'Base Data'!D24</f>
        <v>0.010321927537153637</v>
      </c>
      <c r="E26" s="5">
        <f>E$3/'Base Data'!E24</f>
        <v>0.017530051516886087</v>
      </c>
      <c r="F26" s="5">
        <f>F$3/'Base Data'!F24</f>
        <v>0.017596302656405688</v>
      </c>
      <c r="G26" s="5">
        <f>G$3/'Base Data'!G24</f>
        <v>0.021703873306620873</v>
      </c>
      <c r="H26" s="5">
        <f>H$3/'Base Data'!H24</f>
        <v>0.03296656702495283</v>
      </c>
      <c r="I26" s="5">
        <f>I$3/'Base Data'!I24</f>
        <v>0.035298607136042735</v>
      </c>
      <c r="J26" s="5">
        <f>J$3/'Base Data'!J24</f>
        <v>0.04453401598507494</v>
      </c>
      <c r="K26" s="5">
        <f>K$3/'Base Data'!K24</f>
        <v>0.04699855837520406</v>
      </c>
      <c r="L26" s="5">
        <f>L$3/'Base Data'!L24</f>
        <v>0.05783724480061056</v>
      </c>
      <c r="M26" s="5">
        <f>M$3/'Base Data'!M24</f>
        <v>0.06983328889396768</v>
      </c>
      <c r="N26" s="5">
        <f>N$3/'Base Data'!N24</f>
        <v>0.07551667279306483</v>
      </c>
      <c r="O26" s="5">
        <f>O$3/'Base Data'!O24</f>
        <v>0.09795357405734549</v>
      </c>
    </row>
    <row r="27" spans="1:15" ht="12.75">
      <c r="A27" t="str">
        <f t="shared" si="0"/>
        <v>Male52</v>
      </c>
      <c r="B27" s="4">
        <f t="shared" si="1"/>
        <v>52</v>
      </c>
      <c r="C27" s="5">
        <f>C$3/'Base Data'!C25</f>
        <v>0.003009583160585959</v>
      </c>
      <c r="D27" s="5">
        <f>D$3/'Base Data'!D25</f>
        <v>0.010406513970110462</v>
      </c>
      <c r="E27" s="5">
        <f>E$3/'Base Data'!E25</f>
        <v>0.01767370729455217</v>
      </c>
      <c r="F27" s="5">
        <f>F$3/'Base Data'!F25</f>
        <v>0.017740501350842996</v>
      </c>
      <c r="G27" s="5">
        <f>G$3/'Base Data'!G25</f>
        <v>0.021881732840874118</v>
      </c>
      <c r="H27" s="5">
        <f>H$3/'Base Data'!H25</f>
        <v>0.033236722410314286</v>
      </c>
      <c r="I27" s="5">
        <f>I$3/'Base Data'!I25</f>
        <v>0.03558787319175131</v>
      </c>
      <c r="J27" s="5">
        <f>J$3/'Base Data'!J25</f>
        <v>0.04489896463869225</v>
      </c>
      <c r="K27" s="5">
        <f>K$3/'Base Data'!K25</f>
        <v>0.04738370353271092</v>
      </c>
      <c r="L27" s="5">
        <f>L$3/'Base Data'!L25</f>
        <v>0.05831121114188981</v>
      </c>
      <c r="M27" s="5">
        <f>M$3/'Base Data'!M25</f>
        <v>0.07040450588837686</v>
      </c>
      <c r="N27" s="5">
        <f>N$3/'Base Data'!N25</f>
        <v>0.07613461077262705</v>
      </c>
      <c r="O27" s="5">
        <f>O$3/'Base Data'!O25</f>
        <v>0.09875647220535654</v>
      </c>
    </row>
    <row r="28" spans="1:15" ht="12.75">
      <c r="A28" t="str">
        <f t="shared" si="0"/>
        <v>Male53</v>
      </c>
      <c r="B28" s="4">
        <f t="shared" si="1"/>
        <v>53</v>
      </c>
      <c r="C28" s="5">
        <f>C$3/'Base Data'!C26</f>
        <v>0.0030350641092644856</v>
      </c>
      <c r="D28" s="5">
        <f>D$3/'Base Data'!D26</f>
        <v>0.010494940872661743</v>
      </c>
      <c r="E28" s="5">
        <f>E$3/'Base Data'!E26</f>
        <v>0.017823885461529507</v>
      </c>
      <c r="F28" s="5">
        <f>F$3/'Base Data'!F26</f>
        <v>0.017891247084588953</v>
      </c>
      <c r="G28" s="5">
        <f>G$3/'Base Data'!G26</f>
        <v>0.022067667714274628</v>
      </c>
      <c r="H28" s="5">
        <f>H$3/'Base Data'!H26</f>
        <v>0.03351914363438051</v>
      </c>
      <c r="I28" s="5">
        <f>I$3/'Base Data'!I26</f>
        <v>0.035890272766073025</v>
      </c>
      <c r="J28" s="5">
        <f>J$3/'Base Data'!J26</f>
        <v>0.04528048302055985</v>
      </c>
      <c r="K28" s="5">
        <f>K$3/'Base Data'!K26</f>
        <v>0.04778633539837126</v>
      </c>
      <c r="L28" s="5">
        <f>L$3/'Base Data'!L26</f>
        <v>0.05880669693089667</v>
      </c>
      <c r="M28" s="5">
        <f>M$3/'Base Data'!M26</f>
        <v>0.07100163949240283</v>
      </c>
      <c r="N28" s="5">
        <f>N$3/'Base Data'!N26</f>
        <v>0.07678054419577425</v>
      </c>
      <c r="O28" s="5">
        <f>O$3/'Base Data'!O26</f>
        <v>0.09959550537908746</v>
      </c>
    </row>
    <row r="29" spans="1:18" ht="12.75">
      <c r="A29" t="str">
        <f t="shared" si="0"/>
        <v>Male54</v>
      </c>
      <c r="B29" s="4">
        <f t="shared" si="1"/>
        <v>54</v>
      </c>
      <c r="C29" s="5">
        <f>C$3/'Base Data'!C27</f>
        <v>0.0030617064276613508</v>
      </c>
      <c r="D29" s="5">
        <f>D$3/'Base Data'!D27</f>
        <v>0.010586126222500531</v>
      </c>
      <c r="E29" s="5">
        <f>E$3/'Base Data'!E27</f>
        <v>0.017978748385581778</v>
      </c>
      <c r="F29" s="5">
        <f>F$3/'Base Data'!F27</f>
        <v>0.018046695280463036</v>
      </c>
      <c r="G29" s="5">
        <f>G$3/'Base Data'!G27</f>
        <v>0.02225940276310125</v>
      </c>
      <c r="H29" s="5">
        <f>H$3/'Base Data'!H27</f>
        <v>0.03381037489291569</v>
      </c>
      <c r="I29" s="5">
        <f>I$3/'Base Data'!I27</f>
        <v>0.036202105592736095</v>
      </c>
      <c r="J29" s="5">
        <f>J$3/'Base Data'!J27</f>
        <v>0.04567390273918394</v>
      </c>
      <c r="K29" s="5">
        <f>K$3/'Base Data'!K27</f>
        <v>0.04820152722876687</v>
      </c>
      <c r="L29" s="5">
        <f>L$3/'Base Data'!L27</f>
        <v>0.05931763923134123</v>
      </c>
      <c r="M29" s="5">
        <f>M$3/'Base Data'!M27</f>
        <v>0.07162577486065531</v>
      </c>
      <c r="N29" s="5">
        <f>N$3/'Base Data'!N27</f>
        <v>0.07745402047571041</v>
      </c>
      <c r="O29" s="5">
        <f>O$3/'Base Data'!O27</f>
        <v>0.10046055030131462</v>
      </c>
      <c r="Q29" s="2">
        <v>0.09872685185185186</v>
      </c>
      <c r="R29" s="2">
        <f>O27-Q29</f>
        <v>2.9620353504677954E-05</v>
      </c>
    </row>
    <row r="30" spans="1:18" ht="12.75">
      <c r="A30" t="str">
        <f t="shared" si="0"/>
        <v>Male55</v>
      </c>
      <c r="B30" s="4">
        <f t="shared" si="1"/>
        <v>55</v>
      </c>
      <c r="C30" s="5">
        <f>C$3/'Base Data'!C28</f>
        <v>0.0030891903273710573</v>
      </c>
      <c r="D30" s="5">
        <f>D$3/'Base Data'!D28</f>
        <v>0.01068144023658773</v>
      </c>
      <c r="E30" s="5">
        <f>E$3/'Base Data'!E28</f>
        <v>0.018140623148916006</v>
      </c>
      <c r="F30" s="5">
        <f>F$3/'Base Data'!F28</f>
        <v>0.01820918181538961</v>
      </c>
      <c r="G30" s="5">
        <f>G$3/'Base Data'!G28</f>
        <v>0.02245981913675315</v>
      </c>
      <c r="H30" s="5">
        <f>H$3/'Base Data'!H28</f>
        <v>0.034114792437266075</v>
      </c>
      <c r="I30" s="5">
        <f>I$3/'Base Data'!I28</f>
        <v>0.036528057497136994</v>
      </c>
      <c r="J30" s="5">
        <f>J$3/'Base Data'!J28</f>
        <v>0.04608513560355759</v>
      </c>
      <c r="K30" s="5">
        <f>K$3/'Base Data'!K28</f>
        <v>0.04863551799637572</v>
      </c>
      <c r="L30" s="5">
        <f>L$3/'Base Data'!L28</f>
        <v>0.05985171583145756</v>
      </c>
      <c r="M30" s="5">
        <f>M$3/'Base Data'!M28</f>
        <v>0.07226952591191002</v>
      </c>
      <c r="N30" s="5">
        <f>N$3/'Base Data'!N28</f>
        <v>0.07815029053038326</v>
      </c>
      <c r="O30" s="5">
        <f>O$3/'Base Data'!O28</f>
        <v>0.10136443700068377</v>
      </c>
      <c r="R30" s="3">
        <f>'Base Calculation'!R29/'Base Data'!O2</f>
        <v>1.1297371925747156E-06</v>
      </c>
    </row>
    <row r="31" spans="1:15" ht="12.75">
      <c r="A31" t="str">
        <f t="shared" si="0"/>
        <v>Male56</v>
      </c>
      <c r="B31" s="4">
        <f t="shared" si="1"/>
        <v>56</v>
      </c>
      <c r="C31" s="5">
        <f>C$3/'Base Data'!C29</f>
        <v>0.003118678731897678</v>
      </c>
      <c r="D31" s="5">
        <f>D$3/'Base Data'!D29</f>
        <v>0.010782353149609786</v>
      </c>
      <c r="E31" s="5">
        <f>E$3/'Base Data'!E29</f>
        <v>0.01831200669696245</v>
      </c>
      <c r="F31" s="5">
        <f>F$3/'Base Data'!F29</f>
        <v>0.018381213071478556</v>
      </c>
      <c r="G31" s="5">
        <f>G$3/'Base Data'!G29</f>
        <v>0.02267200829147732</v>
      </c>
      <c r="H31" s="5">
        <f>H$3/'Base Data'!H29</f>
        <v>0.03443709195921585</v>
      </c>
      <c r="I31" s="5">
        <f>I$3/'Base Data'!I29</f>
        <v>0.03687315634218289</v>
      </c>
      <c r="J31" s="5">
        <f>J$3/'Base Data'!J29</f>
        <v>0.046520524949728484</v>
      </c>
      <c r="K31" s="5">
        <f>K$3/'Base Data'!K29</f>
        <v>0.04909500208172775</v>
      </c>
      <c r="L31" s="5">
        <f>L$3/'Base Data'!L29</f>
        <v>0.06041716495256317</v>
      </c>
      <c r="M31" s="5">
        <f>M$3/'Base Data'!M29</f>
        <v>0.07295106972795884</v>
      </c>
      <c r="N31" s="5">
        <f>N$3/'Base Data'!N29</f>
        <v>0.07888737271298439</v>
      </c>
      <c r="O31" s="5">
        <f>O$3/'Base Data'!O29</f>
        <v>0.10232093086245007</v>
      </c>
    </row>
    <row r="32" spans="1:15" ht="12.75">
      <c r="A32" t="str">
        <f t="shared" si="0"/>
        <v>Male57</v>
      </c>
      <c r="B32" s="4">
        <f t="shared" si="1"/>
        <v>57</v>
      </c>
      <c r="C32" s="5">
        <f>C$3/'Base Data'!C30</f>
        <v>0.003148735535584383</v>
      </c>
      <c r="D32" s="5">
        <f>D$3/'Base Data'!D30</f>
        <v>0.010886505317198385</v>
      </c>
      <c r="E32" s="5">
        <f>E$3/'Base Data'!E30</f>
        <v>0.018488891572084037</v>
      </c>
      <c r="F32" s="5">
        <f>F$3/'Base Data'!F30</f>
        <v>0.018558766445750264</v>
      </c>
      <c r="G32" s="5">
        <f>G$3/'Base Data'!G30</f>
        <v>0.022891008613056426</v>
      </c>
      <c r="H32" s="5">
        <f>H$3/'Base Data'!H30</f>
        <v>0.03476973713631525</v>
      </c>
      <c r="I32" s="5">
        <f>I$3/'Base Data'!I30</f>
        <v>0.0372293326893665</v>
      </c>
      <c r="J32" s="5">
        <f>J$3/'Base Data'!J30</f>
        <v>0.046969890078438735</v>
      </c>
      <c r="K32" s="5">
        <f>K$3/'Base Data'!K30</f>
        <v>0.049569235378822435</v>
      </c>
      <c r="L32" s="5">
        <f>L$3/'Base Data'!L30</f>
        <v>0.06100076471061739</v>
      </c>
      <c r="M32" s="5">
        <f>M$3/'Base Data'!M30</f>
        <v>0.07365446680861892</v>
      </c>
      <c r="N32" s="5">
        <f>N$3/'Base Data'!N30</f>
        <v>0.07964806876998141</v>
      </c>
      <c r="O32" s="5">
        <f>O$3/'Base Data'!O30</f>
        <v>0.10330794948813288</v>
      </c>
    </row>
    <row r="33" spans="1:15" ht="12.75">
      <c r="A33" t="str">
        <f t="shared" si="0"/>
        <v>Male58</v>
      </c>
      <c r="B33" s="4">
        <f t="shared" si="1"/>
        <v>58</v>
      </c>
      <c r="C33" s="5">
        <f>C$3/'Base Data'!C31</f>
        <v>0.0031797690261408385</v>
      </c>
      <c r="D33" s="5">
        <f>D$3/'Base Data'!D31</f>
        <v>0.010994029635049021</v>
      </c>
      <c r="E33" s="5">
        <f>E$3/'Base Data'!E31</f>
        <v>0.018671503475185952</v>
      </c>
      <c r="F33" s="5">
        <f>F$3/'Base Data'!F31</f>
        <v>0.018742068492098973</v>
      </c>
      <c r="G33" s="5">
        <f>G$3/'Base Data'!G31</f>
        <v>0.023117099540706416</v>
      </c>
      <c r="H33" s="5">
        <f>H$3/'Base Data'!H31</f>
        <v>0.03511315241592037</v>
      </c>
      <c r="I33" s="5">
        <f>I$3/'Base Data'!I31</f>
        <v>0.03759704101125879</v>
      </c>
      <c r="J33" s="5">
        <f>J$3/'Base Data'!J31</f>
        <v>0.047433804368934226</v>
      </c>
      <c r="K33" s="5">
        <f>K$3/'Base Data'!K31</f>
        <v>0.0500588229980987</v>
      </c>
      <c r="L33" s="5">
        <f>L$3/'Base Data'!L31</f>
        <v>0.061603259765069286</v>
      </c>
      <c r="M33" s="5">
        <f>M$3/'Base Data'!M31</f>
        <v>0.0743806123552959</v>
      </c>
      <c r="N33" s="5">
        <f>N$3/'Base Data'!N31</f>
        <v>0.08043334571130241</v>
      </c>
      <c r="O33" s="5">
        <f>O$3/'Base Data'!O31</f>
        <v>0.1043267410525378</v>
      </c>
    </row>
    <row r="34" spans="1:15" ht="12.75">
      <c r="A34" t="str">
        <f t="shared" si="0"/>
        <v>Male59</v>
      </c>
      <c r="B34" s="4">
        <f t="shared" si="1"/>
        <v>59</v>
      </c>
      <c r="C34" s="5">
        <f>C$3/'Base Data'!C32</f>
        <v>0.003211420329125941</v>
      </c>
      <c r="D34" s="5">
        <f>D$3/'Base Data'!D32</f>
        <v>0.011103699142492245</v>
      </c>
      <c r="E34" s="5">
        <f>E$3/'Base Data'!E32</f>
        <v>0.018857758620689655</v>
      </c>
      <c r="F34" s="5">
        <f>F$3/'Base Data'!F32</f>
        <v>0.018929027549717203</v>
      </c>
      <c r="G34" s="5">
        <f>G$3/'Base Data'!G32</f>
        <v>0.023347701149425287</v>
      </c>
      <c r="H34" s="5">
        <f>H$3/'Base Data'!H32</f>
        <v>0.03546341908410874</v>
      </c>
      <c r="I34" s="5">
        <f>I$3/'Base Data'!I32</f>
        <v>0.037972085385878485</v>
      </c>
      <c r="J34" s="5">
        <f>J$3/'Base Data'!J32</f>
        <v>0.047906974092318914</v>
      </c>
      <c r="K34" s="5">
        <f>K$3/'Base Data'!K32</f>
        <v>0.05055817825214377</v>
      </c>
      <c r="L34" s="5">
        <f>L$3/'Base Data'!L32</f>
        <v>0.062217775041050895</v>
      </c>
      <c r="M34" s="5">
        <f>M$3/'Base Data'!M32</f>
        <v>0.07512121832957727</v>
      </c>
      <c r="N34" s="5">
        <f>N$3/'Base Data'!N32</f>
        <v>0.08123426145668478</v>
      </c>
      <c r="O34" s="5">
        <f>O$3/'Base Data'!O32</f>
        <v>0.10536582677661263</v>
      </c>
    </row>
    <row r="35" spans="1:15" ht="12.75">
      <c r="A35" t="str">
        <f t="shared" si="0"/>
        <v>Male60</v>
      </c>
      <c r="B35" s="4">
        <f t="shared" si="1"/>
        <v>60</v>
      </c>
      <c r="C35" s="5">
        <f>C$3/'Base Data'!C33</f>
        <v>0.003244115784965458</v>
      </c>
      <c r="D35" s="5">
        <f>D$3/'Base Data'!D33</f>
        <v>0.011216974003114834</v>
      </c>
      <c r="E35" s="5">
        <f>E$3/'Base Data'!E33</f>
        <v>0.01905013684996268</v>
      </c>
      <c r="F35" s="5">
        <f>F$3/'Base Data'!F33</f>
        <v>0.01912213283201091</v>
      </c>
      <c r="G35" s="5">
        <f>G$3/'Base Data'!G33</f>
        <v>0.023585883719001412</v>
      </c>
      <c r="H35" s="5">
        <f>H$3/'Base Data'!H33</f>
        <v>0.035825200667201164</v>
      </c>
      <c r="I35" s="5">
        <f>I$3/'Base Data'!I33</f>
        <v>0.038359459235299</v>
      </c>
      <c r="J35" s="5">
        <f>J$3/'Base Data'!J33</f>
        <v>0.048395699132822795</v>
      </c>
      <c r="K35" s="5">
        <f>K$3/'Base Data'!K33</f>
        <v>0.051073949665017104</v>
      </c>
      <c r="L35" s="5">
        <f>L$3/'Base Data'!L33</f>
        <v>0.06285249232810815</v>
      </c>
      <c r="M35" s="5">
        <f>M$3/'Base Data'!M33</f>
        <v>0.07588614319025347</v>
      </c>
      <c r="N35" s="5">
        <f>N$3/'Base Data'!N33</f>
        <v>0.08206145482103576</v>
      </c>
      <c r="O35" s="5">
        <f>O$3/'Base Data'!O33</f>
        <v>0.10643887752783458</v>
      </c>
    </row>
    <row r="36" spans="1:15" ht="12.75">
      <c r="A36" t="str">
        <f t="shared" si="0"/>
        <v>Male61</v>
      </c>
      <c r="B36" s="4">
        <f t="shared" si="1"/>
        <v>61</v>
      </c>
      <c r="C36" s="5">
        <f>C$3/'Base Data'!C34</f>
        <v>0.0032774838330393886</v>
      </c>
      <c r="D36" s="5">
        <f>D$3/'Base Data'!D34</f>
        <v>0.011332583840753776</v>
      </c>
      <c r="E36" s="5">
        <f>E$3/'Base Data'!E34</f>
        <v>0.019246480643539468</v>
      </c>
      <c r="F36" s="5">
        <f>F$3/'Base Data'!F34</f>
        <v>0.019319218665623895</v>
      </c>
      <c r="G36" s="5">
        <f>G$3/'Base Data'!G34</f>
        <v>0.02382897603485839</v>
      </c>
      <c r="H36" s="5">
        <f>H$3/'Base Data'!H34</f>
        <v>0.03619443978921103</v>
      </c>
      <c r="I36" s="5">
        <f>I$3/'Base Data'!I34</f>
        <v>0.038754818166582876</v>
      </c>
      <c r="J36" s="5">
        <f>J$3/'Base Data'!J34</f>
        <v>0.04889449844515204</v>
      </c>
      <c r="K36" s="5">
        <f>K$3/'Base Data'!K34</f>
        <v>0.05160035286669274</v>
      </c>
      <c r="L36" s="5">
        <f>L$3/'Base Data'!L34</f>
        <v>0.06350029327970504</v>
      </c>
      <c r="M36" s="5">
        <f>M$3/'Base Data'!M34</f>
        <v>0.0766668060608595</v>
      </c>
      <c r="N36" s="5">
        <f>N$3/'Base Data'!N34</f>
        <v>0.0829056678051356</v>
      </c>
      <c r="O36" s="5">
        <f>O$3/'Base Data'!O34</f>
        <v>0.10753400915480994</v>
      </c>
    </row>
    <row r="37" spans="1:15" ht="12.75">
      <c r="A37" t="str">
        <f t="shared" si="0"/>
        <v>Male62</v>
      </c>
      <c r="B37" s="4">
        <f t="shared" si="1"/>
        <v>62</v>
      </c>
      <c r="C37" s="5">
        <f>C$3/'Base Data'!C35</f>
        <v>0.003311970381776618</v>
      </c>
      <c r="D37" s="5">
        <f>D$3/'Base Data'!D35</f>
        <v>0.011450601604906914</v>
      </c>
      <c r="E37" s="5">
        <f>E$3/'Base Data'!E35</f>
        <v>0.01944691389382779</v>
      </c>
      <c r="F37" s="5">
        <f>F$3/'Base Data'!F35</f>
        <v>0.019520409411189193</v>
      </c>
      <c r="G37" s="5">
        <f>G$3/'Base Data'!G35</f>
        <v>0.02407713148759631</v>
      </c>
      <c r="H37" s="5">
        <f>H$3/'Base Data'!H35</f>
        <v>0.036571369439035176</v>
      </c>
      <c r="I37" s="5">
        <f>I$3/'Base Data'!I35</f>
        <v>0.039158411650156634</v>
      </c>
      <c r="J37" s="5">
        <f>J$3/'Base Data'!J35</f>
        <v>0.049403686770336505</v>
      </c>
      <c r="K37" s="5">
        <f>K$3/'Base Data'!K35</f>
        <v>0.05213772001618078</v>
      </c>
      <c r="L37" s="5">
        <f>L$3/'Base Data'!L35</f>
        <v>0.06416158665650663</v>
      </c>
      <c r="M37" s="5">
        <f>M$3/'Base Data'!M35</f>
        <v>0.07747351814288934</v>
      </c>
      <c r="N37" s="5">
        <f>N$3/'Base Data'!N35</f>
        <v>0.08377802785467266</v>
      </c>
      <c r="O37" s="5">
        <f>O$3/'Base Data'!O35</f>
        <v>0.1086655207129966</v>
      </c>
    </row>
    <row r="38" spans="1:15" ht="12.75">
      <c r="A38" t="str">
        <f t="shared" si="0"/>
        <v>Male63</v>
      </c>
      <c r="B38" s="4">
        <f t="shared" si="1"/>
        <v>63</v>
      </c>
      <c r="C38" s="5">
        <f>C$3/'Base Data'!C36</f>
        <v>0.0033471904013986755</v>
      </c>
      <c r="D38" s="5">
        <f>D$3/'Base Data'!D36</f>
        <v>0.011574074074074073</v>
      </c>
      <c r="E38" s="5">
        <f>E$3/'Base Data'!E36</f>
        <v>0.019656611039794606</v>
      </c>
      <c r="F38" s="5">
        <f>F$3/'Base Data'!F36</f>
        <v>0.019730899063376595</v>
      </c>
      <c r="G38" s="5">
        <f>G$3/'Base Data'!G36</f>
        <v>0.024336756525459993</v>
      </c>
      <c r="H38" s="5">
        <f>H$3/'Base Data'!H36</f>
        <v>0.036965720534398325</v>
      </c>
      <c r="I38" s="5">
        <f>I$3/'Base Data'!I36</f>
        <v>0.03958065896448438</v>
      </c>
      <c r="J38" s="5">
        <f>J$3/'Base Data'!J36</f>
        <v>0.04993640945181382</v>
      </c>
      <c r="K38" s="5">
        <f>K$3/'Base Data'!K36</f>
        <v>0.052699923929063856</v>
      </c>
      <c r="L38" s="5">
        <f>L$3/'Base Data'!L36</f>
        <v>0.06485344458707744</v>
      </c>
      <c r="M38" s="5">
        <f>M$3/'Base Data'!M36</f>
        <v>0.07829738771442808</v>
      </c>
      <c r="N38" s="5">
        <f>N$3/'Base Data'!N36</f>
        <v>0.08466894163748827</v>
      </c>
      <c r="O38" s="5">
        <f>O$3/'Base Data'!O36</f>
        <v>0.10982109784173336</v>
      </c>
    </row>
    <row r="39" spans="1:15" ht="12.75">
      <c r="A39" t="str">
        <f t="shared" si="0"/>
        <v>Male64</v>
      </c>
      <c r="B39" s="4">
        <f t="shared" si="1"/>
        <v>64</v>
      </c>
      <c r="C39" s="5">
        <f>C$3/'Base Data'!C37</f>
        <v>0.003383611062557051</v>
      </c>
      <c r="D39" s="5">
        <f>D$3/'Base Data'!D37</f>
        <v>0.011700238390479761</v>
      </c>
      <c r="E39" s="5">
        <f>E$3/'Base Data'!E37</f>
        <v>0.019870879833895665</v>
      </c>
      <c r="F39" s="5">
        <f>F$3/'Base Data'!F37</f>
        <v>0.01994597764128</v>
      </c>
      <c r="G39" s="5">
        <f>G$3/'Base Data'!G37</f>
        <v>0.02460204169910892</v>
      </c>
      <c r="H39" s="5">
        <f>H$3/'Base Data'!H37</f>
        <v>0.03736866895444627</v>
      </c>
      <c r="I39" s="5">
        <f>I$3/'Base Data'!I37</f>
        <v>0.04001211177437495</v>
      </c>
      <c r="J39" s="5">
        <f>J$3/'Base Data'!J37</f>
        <v>0.05048074612375158</v>
      </c>
      <c r="K39" s="5">
        <f>K$3/'Base Data'!K37</f>
        <v>0.053274384558448934</v>
      </c>
      <c r="L39" s="5">
        <f>L$3/'Base Data'!L37</f>
        <v>0.06556038584652651</v>
      </c>
      <c r="M39" s="5">
        <f>M$3/'Base Data'!M37</f>
        <v>0.07914921786181986</v>
      </c>
      <c r="N39" s="5">
        <f>N$3/'Base Data'!N37</f>
        <v>0.0855900674641263</v>
      </c>
      <c r="O39" s="5">
        <f>O$3/'Base Data'!O37</f>
        <v>0.1110157220184095</v>
      </c>
    </row>
    <row r="40" spans="1:15" ht="12.75">
      <c r="A40" t="str">
        <f t="shared" si="0"/>
        <v>Male65</v>
      </c>
      <c r="B40" s="4">
        <f t="shared" si="1"/>
        <v>65</v>
      </c>
      <c r="C40" s="5">
        <f>C$3/'Base Data'!C38</f>
        <v>0.0034212864773575276</v>
      </c>
      <c r="D40" s="5">
        <f>D$3/'Base Data'!D38</f>
        <v>0.011829183552484523</v>
      </c>
      <c r="E40" s="5">
        <f>E$3/'Base Data'!E38</f>
        <v>0.02008987142482288</v>
      </c>
      <c r="F40" s="5">
        <f>F$3/'Base Data'!F38</f>
        <v>0.02016579686482599</v>
      </c>
      <c r="G40" s="5">
        <f>G$3/'Base Data'!G38</f>
        <v>0.024873174145018807</v>
      </c>
      <c r="H40" s="5">
        <f>H$3/'Base Data'!H38</f>
        <v>0.03778049894554749</v>
      </c>
      <c r="I40" s="5">
        <f>I$3/'Base Data'!I38</f>
        <v>0.040453074433656956</v>
      </c>
      <c r="J40" s="5">
        <f>J$3/'Base Data'!J38</f>
        <v>0.05103708077009048</v>
      </c>
      <c r="K40" s="5">
        <f>K$3/'Base Data'!K38</f>
        <v>0.05386150713820617</v>
      </c>
      <c r="L40" s="5">
        <f>L$3/'Base Data'!L38</f>
        <v>0.06628290912271494</v>
      </c>
      <c r="M40" s="5">
        <f>M$3/'Base Data'!M38</f>
        <v>0.08003026599150226</v>
      </c>
      <c r="N40" s="5">
        <f>N$3/'Base Data'!N38</f>
        <v>0.08654276346171194</v>
      </c>
      <c r="O40" s="5">
        <f>O$3/'Base Data'!O38</f>
        <v>0.11225114542596425</v>
      </c>
    </row>
    <row r="41" spans="1:15" ht="12.75">
      <c r="A41" t="str">
        <f t="shared" si="0"/>
        <v>Male66</v>
      </c>
      <c r="B41" s="4">
        <f t="shared" si="1"/>
        <v>66</v>
      </c>
      <c r="C41" s="5">
        <f>C$3/'Base Data'!C39</f>
        <v>0.003459810346539569</v>
      </c>
      <c r="D41" s="5">
        <f>D$3/'Base Data'!D39</f>
        <v>0.011962589496754283</v>
      </c>
      <c r="E41" s="5">
        <f>E$3/'Base Data'!E39</f>
        <v>0.02031643890141966</v>
      </c>
      <c r="F41" s="5">
        <f>F$3/'Base Data'!F39</f>
        <v>0.02039322060550666</v>
      </c>
      <c r="G41" s="5">
        <f>G$3/'Base Data'!G39</f>
        <v>0.025153686258900534</v>
      </c>
      <c r="H41" s="5">
        <f>H$3/'Base Data'!H39</f>
        <v>0.03820657595369019</v>
      </c>
      <c r="I41" s="5">
        <f>I$3/'Base Data'!I39</f>
        <v>0.040909291937552515</v>
      </c>
      <c r="J41" s="5">
        <f>J$3/'Base Data'!J39</f>
        <v>0.05161266148728003</v>
      </c>
      <c r="K41" s="5">
        <f>K$3/'Base Data'!K39</f>
        <v>0.05446894087931636</v>
      </c>
      <c r="L41" s="5">
        <f>L$3/'Base Data'!L39</f>
        <v>0.06703042766794921</v>
      </c>
      <c r="M41" s="5">
        <f>M$3/'Base Data'!M39</f>
        <v>0.08094186902133922</v>
      </c>
      <c r="N41" s="5">
        <f>N$3/'Base Data'!N39</f>
        <v>0.08752847359067374</v>
      </c>
      <c r="O41" s="5">
        <f>O$3/'Base Data'!O39</f>
        <v>0.11352923070957359</v>
      </c>
    </row>
    <row r="42" spans="1:15" ht="12.75">
      <c r="A42" t="str">
        <f t="shared" si="0"/>
        <v>Male67</v>
      </c>
      <c r="B42" s="4">
        <f t="shared" si="1"/>
        <v>67</v>
      </c>
      <c r="C42" s="5">
        <f>C$3/'Base Data'!C40</f>
        <v>0.003499686126804771</v>
      </c>
      <c r="D42" s="5">
        <f>D$3/'Base Data'!D40</f>
        <v>0.012100662600595495</v>
      </c>
      <c r="E42" s="5">
        <f>E$3/'Base Data'!E40</f>
        <v>0.02055093276070326</v>
      </c>
      <c r="F42" s="5">
        <f>F$3/'Base Data'!F40</f>
        <v>0.020628600684968957</v>
      </c>
      <c r="G42" s="5">
        <f>G$3/'Base Data'!G40</f>
        <v>0.025444011989442135</v>
      </c>
      <c r="H42" s="5">
        <f>H$3/'Base Data'!H40</f>
        <v>0.038647559114610514</v>
      </c>
      <c r="I42" s="5">
        <f>I$3/'Base Data'!I40</f>
        <v>0.04138147004876303</v>
      </c>
      <c r="J42" s="5">
        <f>J$3/'Base Data'!J40</f>
        <v>0.0522083786914011</v>
      </c>
      <c r="K42" s="5">
        <f>K$3/'Base Data'!K40</f>
        <v>0.05509762547408502</v>
      </c>
      <c r="L42" s="5">
        <f>L$3/'Base Data'!L40</f>
        <v>0.06780409788395293</v>
      </c>
      <c r="M42" s="5">
        <f>M$3/'Base Data'!M40</f>
        <v>0.08187447898058832</v>
      </c>
      <c r="N42" s="5">
        <f>N$3/'Base Data'!N40</f>
        <v>0.08853689662103852</v>
      </c>
      <c r="O42" s="5">
        <f>O$3/'Base Data'!O40</f>
        <v>0.11483675560654644</v>
      </c>
    </row>
    <row r="43" spans="1:15" ht="12.75">
      <c r="A43" t="str">
        <f t="shared" si="0"/>
        <v>Male68</v>
      </c>
      <c r="B43" s="4">
        <f t="shared" si="1"/>
        <v>68</v>
      </c>
      <c r="C43" s="5">
        <f>C$3/'Base Data'!C41</f>
        <v>0.0035404917949499568</v>
      </c>
      <c r="D43" s="5">
        <f>D$3/'Base Data'!D41</f>
        <v>0.012241960222272509</v>
      </c>
      <c r="E43" s="5">
        <f>E$3/'Base Data'!E41</f>
        <v>0.02079090291921249</v>
      </c>
      <c r="F43" s="5">
        <f>F$3/'Base Data'!F41</f>
        <v>0.02086947776017701</v>
      </c>
      <c r="G43" s="5">
        <f>G$3/'Base Data'!G41</f>
        <v>0.02574111789997737</v>
      </c>
      <c r="H43" s="5">
        <f>H$3/'Base Data'!H41</f>
        <v>0.03909884086394609</v>
      </c>
      <c r="I43" s="5">
        <f>I$3/'Base Data'!I41</f>
        <v>0.04186467526589726</v>
      </c>
      <c r="J43" s="5">
        <f>J$3/'Base Data'!J41</f>
        <v>0.05281800809635161</v>
      </c>
      <c r="K43" s="5">
        <f>K$3/'Base Data'!K41</f>
        <v>0.055740992180231826</v>
      </c>
      <c r="L43" s="5">
        <f>L$3/'Base Data'!L41</f>
        <v>0.06859583616202759</v>
      </c>
      <c r="M43" s="5">
        <f>M$3/'Base Data'!M41</f>
        <v>0.08282883045691396</v>
      </c>
      <c r="N43" s="5">
        <f>N$3/'Base Data'!N41</f>
        <v>0.08956882673448019</v>
      </c>
      <c r="O43" s="5">
        <f>O$3/'Base Data'!O41</f>
        <v>0.1161747491431434</v>
      </c>
    </row>
    <row r="44" spans="1:15" ht="12.75">
      <c r="A44" t="str">
        <f t="shared" si="0"/>
        <v>Male69</v>
      </c>
      <c r="B44" s="4">
        <f t="shared" si="1"/>
        <v>69</v>
      </c>
      <c r="C44" s="5">
        <f>C$3/'Base Data'!C42</f>
        <v>0.0035822602616495743</v>
      </c>
      <c r="D44" s="5">
        <f>D$3/'Base Data'!D42</f>
        <v>0.012386596652979398</v>
      </c>
      <c r="E44" s="5">
        <f>E$3/'Base Data'!E42</f>
        <v>0.021036543481247425</v>
      </c>
      <c r="F44" s="5">
        <f>F$3/'Base Data'!F42</f>
        <v>0.021116046669007238</v>
      </c>
      <c r="G44" s="5">
        <f>G$3/'Base Data'!G42</f>
        <v>0.02604524431011586</v>
      </c>
      <c r="H44" s="5">
        <f>H$3/'Base Data'!H42</f>
        <v>0.03956078622928465</v>
      </c>
      <c r="I44" s="5">
        <f>I$3/'Base Data'!I42</f>
        <v>0.04235929843843019</v>
      </c>
      <c r="J44" s="5">
        <f>J$3/'Base Data'!J42</f>
        <v>0.053442042812148594</v>
      </c>
      <c r="K44" s="5">
        <f>K$3/'Base Data'!K42</f>
        <v>0.05639956139681377</v>
      </c>
      <c r="L44" s="5">
        <f>L$3/'Base Data'!L42</f>
        <v>0.06940628291431973</v>
      </c>
      <c r="M44" s="5">
        <f>M$3/'Base Data'!M42</f>
        <v>0.08380569269214361</v>
      </c>
      <c r="N44" s="5">
        <f>N$3/'Base Data'!N42</f>
        <v>0.09062509557523138</v>
      </c>
      <c r="O44" s="5">
        <f>O$3/'Base Data'!O42</f>
        <v>0.1175442888688146</v>
      </c>
    </row>
    <row r="45" spans="1:15" ht="12.75">
      <c r="A45" t="str">
        <f t="shared" si="0"/>
        <v>Male70</v>
      </c>
      <c r="B45" s="4">
        <f t="shared" si="1"/>
        <v>70</v>
      </c>
      <c r="C45" s="5">
        <f>C$3/'Base Data'!C43</f>
        <v>0.003625535213539147</v>
      </c>
      <c r="D45" s="5">
        <f>D$3/'Base Data'!D43</f>
        <v>0.012536434515717051</v>
      </c>
      <c r="E45" s="5">
        <f>E$3/'Base Data'!E43</f>
        <v>0.02129101779755284</v>
      </c>
      <c r="F45" s="5">
        <f>F$3/'Base Data'!F43</f>
        <v>0.02137148271742265</v>
      </c>
      <c r="G45" s="5">
        <f>G$3/'Base Data'!G43</f>
        <v>0.026360307749351133</v>
      </c>
      <c r="H45" s="5">
        <f>H$3/'Base Data'!H43</f>
        <v>0.040039344127219545</v>
      </c>
      <c r="I45" s="5">
        <f>I$3/'Base Data'!I43</f>
        <v>0.04287170930663701</v>
      </c>
      <c r="J45" s="5">
        <f>J$3/'Base Data'!J43</f>
        <v>0.054088519136489106</v>
      </c>
      <c r="K45" s="5">
        <f>K$3/'Base Data'!K43</f>
        <v>0.0570818141556462</v>
      </c>
      <c r="L45" s="5">
        <f>L$3/'Base Data'!L43</f>
        <v>0.07024587504634779</v>
      </c>
      <c r="M45" s="5">
        <f>M$3/'Base Data'!M43</f>
        <v>0.08481764206955048</v>
      </c>
      <c r="N45" s="5">
        <f>N$3/'Base Data'!N43</f>
        <v>0.09171927516540745</v>
      </c>
      <c r="O45" s="5">
        <f>O$3/'Base Data'!O43</f>
        <v>0.11896281566810914</v>
      </c>
    </row>
    <row r="46" ht="12.75">
      <c r="A46" t="s">
        <v>8</v>
      </c>
    </row>
    <row r="47" spans="1:15" ht="12.75">
      <c r="A47" t="str">
        <f>CONCATENATE($B$47,B47)</f>
        <v>FEMALEFEMALE</v>
      </c>
      <c r="B47" s="7" t="s">
        <v>7</v>
      </c>
      <c r="C47" s="10">
        <f>'World Records'!E18</f>
        <v>0.0029282407407407412</v>
      </c>
      <c r="D47" s="10">
        <f>'World Records'!E19</f>
        <v>0.01025462962962963</v>
      </c>
      <c r="E47" s="10">
        <f>'World Records'!E20</f>
        <v>0.017106481481481483</v>
      </c>
      <c r="F47" s="10">
        <f>'World Records'!E21</f>
        <v>0.016979166666666667</v>
      </c>
      <c r="G47" s="10">
        <f>'World Records'!E22</f>
        <v>0.021157407407407406</v>
      </c>
      <c r="H47" s="10">
        <f>'World Records'!E23</f>
        <v>0.03283564814814815</v>
      </c>
      <c r="I47" s="10">
        <f>'World Records'!E24</f>
        <v>0.036238425925925924</v>
      </c>
      <c r="J47" s="10">
        <f>'World Records'!E25</f>
        <v>0.043993055555555556</v>
      </c>
      <c r="K47" s="10">
        <f>'World Records'!E26</f>
        <v>0.04637731481481481</v>
      </c>
      <c r="L47" s="10">
        <f>'World Records'!E27</f>
        <v>0.05597222222222222</v>
      </c>
      <c r="M47" s="10">
        <f>'World Records'!E28</f>
        <v>0.07690972222222221</v>
      </c>
      <c r="N47" s="10">
        <f>'World Records'!E29</f>
        <v>0.07190972222222222</v>
      </c>
      <c r="O47" s="10">
        <f>'World Records'!E30</f>
        <v>0.0941550925925926</v>
      </c>
    </row>
    <row r="48" spans="1:15" ht="12.75">
      <c r="A48" t="str">
        <f aca="true" t="shared" si="2" ref="A48:A89">CONCATENATE($B$47,B48)</f>
        <v>FEMALEAge</v>
      </c>
      <c r="B48" s="7" t="s">
        <v>4</v>
      </c>
      <c r="C48" s="9" t="s">
        <v>39</v>
      </c>
      <c r="D48" s="9" t="s">
        <v>20</v>
      </c>
      <c r="E48" s="9" t="s">
        <v>40</v>
      </c>
      <c r="F48" s="9" t="s">
        <v>21</v>
      </c>
      <c r="G48" s="9" t="s">
        <v>49</v>
      </c>
      <c r="H48" s="9" t="s">
        <v>50</v>
      </c>
      <c r="I48" s="9" t="s">
        <v>25</v>
      </c>
      <c r="J48" s="9" t="s">
        <v>51</v>
      </c>
      <c r="K48" s="9" t="s">
        <v>23</v>
      </c>
      <c r="L48" s="9" t="s">
        <v>52</v>
      </c>
      <c r="M48" s="9" t="s">
        <v>53</v>
      </c>
      <c r="N48" s="9" t="s">
        <v>24</v>
      </c>
      <c r="O48" s="9" t="s">
        <v>54</v>
      </c>
    </row>
    <row r="49" spans="1:15" ht="12.75">
      <c r="A49" t="str">
        <f t="shared" si="2"/>
        <v>FEMALE30</v>
      </c>
      <c r="B49" s="7">
        <v>30</v>
      </c>
      <c r="C49" s="8">
        <f>C$47/'Base Data'!C45</f>
        <v>0.0029282407407407412</v>
      </c>
      <c r="D49" s="8">
        <f>D$47/'Base Data'!D45</f>
        <v>0.01025462962962963</v>
      </c>
      <c r="E49" s="8">
        <f>E$47/'Base Data'!E45</f>
        <v>0.017106481481481483</v>
      </c>
      <c r="F49" s="8">
        <f>F$47/'Base Data'!F45</f>
        <v>0.016979166666666667</v>
      </c>
      <c r="G49" s="8">
        <f>G$47/'Base Data'!G45</f>
        <v>0.021157407407407406</v>
      </c>
      <c r="H49" s="8">
        <f>H$47/'Base Data'!H45</f>
        <v>0.03283564814814815</v>
      </c>
      <c r="I49" s="8">
        <f>I$47/'Base Data'!I45</f>
        <v>0.036238425925925924</v>
      </c>
      <c r="J49" s="8">
        <f>J$47/'Base Data'!J45</f>
        <v>0.043993055555555556</v>
      </c>
      <c r="K49" s="8">
        <f>K$47/'Base Data'!K45</f>
        <v>0.04637731481481481</v>
      </c>
      <c r="L49" s="8">
        <f>L$47/'Base Data'!L45</f>
        <v>0.05597222222222222</v>
      </c>
      <c r="M49" s="8">
        <f>M$47/'Base Data'!M45</f>
        <v>0.07690972222222221</v>
      </c>
      <c r="N49" s="8">
        <f>N$47/'Base Data'!N45</f>
        <v>0.07190972222222222</v>
      </c>
      <c r="O49" s="8">
        <f>O$47/'Base Data'!O45</f>
        <v>0.0941550925925926</v>
      </c>
    </row>
    <row r="50" spans="1:15" ht="12.75">
      <c r="A50" t="str">
        <f t="shared" si="2"/>
        <v>FEMALE31</v>
      </c>
      <c r="B50" s="7">
        <f>B49+1</f>
        <v>31</v>
      </c>
      <c r="C50" s="8">
        <f>C$47/'Base Data'!C46</f>
        <v>0.002950368504524676</v>
      </c>
      <c r="D50" s="8">
        <f>D$47/'Base Data'!D46</f>
        <v>0.010311342010688415</v>
      </c>
      <c r="E50" s="8">
        <f>E$47/'Base Data'!E46</f>
        <v>0.017201087462525372</v>
      </c>
      <c r="F50" s="8">
        <f>F$47/'Base Data'!F46</f>
        <v>0.01707306854365678</v>
      </c>
      <c r="G50" s="8">
        <f>G$47/'Base Data'!G46</f>
        <v>0.0212744166992533</v>
      </c>
      <c r="H50" s="8">
        <f>H$47/'Base Data'!H46</f>
        <v>0.033017242984563246</v>
      </c>
      <c r="I50" s="8">
        <f>I$47/'Base Data'!I46</f>
        <v>0.0364388395434147</v>
      </c>
      <c r="J50" s="8">
        <f>J$47/'Base Data'!J46</f>
        <v>0.04423635551086531</v>
      </c>
      <c r="K50" s="8">
        <f>K$47/'Base Data'!K46</f>
        <v>0.04663380071876803</v>
      </c>
      <c r="L50" s="8">
        <f>L$47/'Base Data'!L46</f>
        <v>0.05628177196804648</v>
      </c>
      <c r="M50" s="8">
        <f>M$47/'Base Data'!M46</f>
        <v>0.07731174328731626</v>
      </c>
      <c r="N50" s="8">
        <f>N$47/'Base Data'!N46</f>
        <v>0.07225434356593831</v>
      </c>
      <c r="O50" s="8">
        <f>O$47/'Base Data'!O46</f>
        <v>0.09441946710047393</v>
      </c>
    </row>
    <row r="51" spans="1:15" ht="12.75">
      <c r="A51" t="str">
        <f t="shared" si="2"/>
        <v>FEMALE32</v>
      </c>
      <c r="B51" s="7">
        <f aca="true" t="shared" si="3" ref="B51:B89">B50+1</f>
        <v>32</v>
      </c>
      <c r="C51" s="8">
        <f>C$47/'Base Data'!C47</f>
        <v>0.0029728332393307018</v>
      </c>
      <c r="D51" s="8">
        <f>D$47/'Base Data'!D47</f>
        <v>0.010368685166460697</v>
      </c>
      <c r="E51" s="8">
        <f>E$47/'Base Data'!E47</f>
        <v>0.017296745684005545</v>
      </c>
      <c r="F51" s="8">
        <f>F$47/'Base Data'!F47</f>
        <v>0.017168014829794406</v>
      </c>
      <c r="G51" s="8">
        <f>G$47/'Base Data'!G47</f>
        <v>0.021392727408905365</v>
      </c>
      <c r="H51" s="8">
        <f>H$47/'Base Data'!H47</f>
        <v>0.033200857581545146</v>
      </c>
      <c r="I51" s="8">
        <f>I$47/'Base Data'!I47</f>
        <v>0.036641482230460994</v>
      </c>
      <c r="J51" s="8">
        <f>J$47/'Base Data'!J47</f>
        <v>0.04448236153241209</v>
      </c>
      <c r="K51" s="8">
        <f>K$47/'Base Data'!K47</f>
        <v>0.046893139347638835</v>
      </c>
      <c r="L51" s="8">
        <f>L$47/'Base Data'!L47</f>
        <v>0.05659476463318728</v>
      </c>
      <c r="M51" s="8">
        <f>M$47/'Base Data'!M47</f>
        <v>0.07771013662950613</v>
      </c>
      <c r="N51" s="8">
        <f>N$47/'Base Data'!N47</f>
        <v>0.07259626896696815</v>
      </c>
      <c r="O51" s="8">
        <f>O$47/'Base Data'!O47</f>
        <v>0.09468533044307381</v>
      </c>
    </row>
    <row r="52" spans="1:15" ht="12.75">
      <c r="A52" t="str">
        <f t="shared" si="2"/>
        <v>FEMALE33</v>
      </c>
      <c r="B52" s="7">
        <f t="shared" si="3"/>
        <v>33</v>
      </c>
      <c r="C52" s="8">
        <f>C$47/'Base Data'!C48</f>
        <v>0.002995642701525055</v>
      </c>
      <c r="D52" s="8">
        <f>D$47/'Base Data'!D48</f>
        <v>0.010427729946745606</v>
      </c>
      <c r="E52" s="8">
        <f>E$47/'Base Data'!E48</f>
        <v>0.01739524250709933</v>
      </c>
      <c r="F52" s="8">
        <f>F$47/'Base Data'!F48</f>
        <v>0.017265778591281946</v>
      </c>
      <c r="G52" s="8">
        <f>G$47/'Base Data'!G48</f>
        <v>0.021514548919470616</v>
      </c>
      <c r="H52" s="8">
        <f>H$47/'Base Data'!H48</f>
        <v>0.03338992083399242</v>
      </c>
      <c r="I52" s="8">
        <f>I$47/'Base Data'!I48</f>
        <v>0.0368501382203843</v>
      </c>
      <c r="J52" s="8">
        <f>J$47/'Base Data'!J48</f>
        <v>0.0447356676383522</v>
      </c>
      <c r="K52" s="8">
        <f>K$47/'Base Data'!K48</f>
        <v>0.04716017369820501</v>
      </c>
      <c r="L52" s="8">
        <f>L$47/'Base Data'!L48</f>
        <v>0.056917045172078726</v>
      </c>
      <c r="M52" s="8">
        <f>M$47/'Base Data'!M48</f>
        <v>0.0781205913887478</v>
      </c>
      <c r="N52" s="8">
        <f>N$47/'Base Data'!N48</f>
        <v>0.07294884545378398</v>
      </c>
      <c r="O52" s="8">
        <f>O$47/'Base Data'!O48</f>
        <v>0.09496227190377468</v>
      </c>
    </row>
    <row r="53" spans="1:15" ht="12.75">
      <c r="A53" t="str">
        <f t="shared" si="2"/>
        <v>FEMALE34</v>
      </c>
      <c r="B53" s="7">
        <f t="shared" si="3"/>
        <v>34</v>
      </c>
      <c r="C53" s="8">
        <f>C$47/'Base Data'!C49</f>
        <v>0.003018804887361589</v>
      </c>
      <c r="D53" s="8">
        <f>D$47/'Base Data'!D49</f>
        <v>0.010486378596614816</v>
      </c>
      <c r="E53" s="8">
        <f>E$47/'Base Data'!E49</f>
        <v>0.017493078516700566</v>
      </c>
      <c r="F53" s="8">
        <f>F$47/'Base Data'!F49</f>
        <v>0.017362886457374646</v>
      </c>
      <c r="G53" s="8">
        <f>G$47/'Base Data'!G49</f>
        <v>0.021635553131616123</v>
      </c>
      <c r="H53" s="8">
        <f>H$47/'Base Data'!H49</f>
        <v>0.033577715664329835</v>
      </c>
      <c r="I53" s="8">
        <f>I$47/'Base Data'!I49</f>
        <v>0.037057394340858904</v>
      </c>
      <c r="J53" s="8">
        <f>J$47/'Base Data'!J49</f>
        <v>0.04498727431798298</v>
      </c>
      <c r="K53" s="8">
        <f>K$47/'Base Data'!K49</f>
        <v>0.0474254165199047</v>
      </c>
      <c r="L53" s="8">
        <f>L$47/'Base Data'!L49</f>
        <v>0.05723716353637613</v>
      </c>
      <c r="M53" s="8">
        <f>M$47/'Base Data'!M49</f>
        <v>0.07852738638168492</v>
      </c>
      <c r="N53" s="8">
        <f>N$47/'Base Data'!N49</f>
        <v>0.073297391407752</v>
      </c>
      <c r="O53" s="8">
        <f>O$47/'Base Data'!O49</f>
        <v>0.09523120521148234</v>
      </c>
    </row>
    <row r="54" spans="1:15" ht="12.75">
      <c r="A54" t="str">
        <f t="shared" si="2"/>
        <v>FEMALE35</v>
      </c>
      <c r="B54" s="7">
        <f t="shared" si="3"/>
        <v>35</v>
      </c>
      <c r="C54" s="8">
        <f>C$47/'Base Data'!C50</f>
        <v>0.0030543869205598637</v>
      </c>
      <c r="D54" s="8">
        <f>D$47/'Base Data'!D50</f>
        <v>0.010576144419997555</v>
      </c>
      <c r="E54" s="8">
        <f>E$47/'Base Data'!E50</f>
        <v>0.01764282331010879</v>
      </c>
      <c r="F54" s="8">
        <f>F$47/'Base Data'!F50</f>
        <v>0.017511516776677668</v>
      </c>
      <c r="G54" s="8">
        <f>G$47/'Base Data'!G50</f>
        <v>0.02182075846473536</v>
      </c>
      <c r="H54" s="8">
        <f>H$47/'Base Data'!H50</f>
        <v>0.03386514866764454</v>
      </c>
      <c r="I54" s="8">
        <f>I$47/'Base Data'!I50</f>
        <v>0.03737461419753086</v>
      </c>
      <c r="J54" s="8">
        <f>J$47/'Base Data'!J50</f>
        <v>0.04537237577924459</v>
      </c>
      <c r="K54" s="8">
        <f>K$47/'Base Data'!K50</f>
        <v>0.04783138904168194</v>
      </c>
      <c r="L54" s="8">
        <f>L$47/'Base Data'!L50</f>
        <v>0.0577271268793546</v>
      </c>
      <c r="M54" s="8">
        <f>M$47/'Base Data'!M50</f>
        <v>0.07915780385160788</v>
      </c>
      <c r="N54" s="8">
        <f>N$47/'Base Data'!N50</f>
        <v>0.0738358316977953</v>
      </c>
      <c r="O54" s="8">
        <f>O$47/'Base Data'!O50</f>
        <v>0.09563747343076952</v>
      </c>
    </row>
    <row r="55" spans="1:15" ht="12.75">
      <c r="A55" t="str">
        <f t="shared" si="2"/>
        <v>FEMALE36</v>
      </c>
      <c r="B55" s="7">
        <f t="shared" si="3"/>
        <v>36</v>
      </c>
      <c r="C55" s="8">
        <f>C$47/'Base Data'!C51</f>
        <v>0.003074591285952059</v>
      </c>
      <c r="D55" s="8">
        <f>D$47/'Base Data'!D51</f>
        <v>0.010645312602127716</v>
      </c>
      <c r="E55" s="8">
        <f>E$47/'Base Data'!E51</f>
        <v>0.0177582077042266</v>
      </c>
      <c r="F55" s="8">
        <f>F$47/'Base Data'!F51</f>
        <v>0.017626042423613274</v>
      </c>
      <c r="G55" s="8">
        <f>G$47/'Base Data'!G51</f>
        <v>0.021963466632832353</v>
      </c>
      <c r="H55" s="8">
        <f>H$47/'Base Data'!H51</f>
        <v>0.03408662737272724</v>
      </c>
      <c r="I55" s="8">
        <f>I$47/'Base Data'!I51</f>
        <v>0.03761904487275607</v>
      </c>
      <c r="J55" s="8">
        <f>J$47/'Base Data'!J51</f>
        <v>0.045669111964658525</v>
      </c>
      <c r="K55" s="8">
        <f>K$47/'Base Data'!K51</f>
        <v>0.04814420721978076</v>
      </c>
      <c r="L55" s="8">
        <f>L$47/'Base Data'!L51</f>
        <v>0.05810466336782126</v>
      </c>
      <c r="M55" s="8">
        <f>M$47/'Base Data'!M51</f>
        <v>0.07968267946769811</v>
      </c>
      <c r="N55" s="8">
        <f>N$47/'Base Data'!N51</f>
        <v>0.07432562568740966</v>
      </c>
      <c r="O55" s="8">
        <f>O$47/'Base Data'!O51</f>
        <v>0.09627310081042188</v>
      </c>
    </row>
    <row r="56" spans="1:15" ht="12.75">
      <c r="A56" t="str">
        <f t="shared" si="2"/>
        <v>FEMALE37</v>
      </c>
      <c r="B56" s="7">
        <f t="shared" si="3"/>
        <v>37</v>
      </c>
      <c r="C56" s="8">
        <f>C$47/'Base Data'!C52</f>
        <v>0.003095391903531439</v>
      </c>
      <c r="D56" s="8">
        <f>D$47/'Base Data'!D52</f>
        <v>0.010717631301870431</v>
      </c>
      <c r="E56" s="8">
        <f>E$47/'Base Data'!E52</f>
        <v>0.01787884770221727</v>
      </c>
      <c r="F56" s="8">
        <f>F$47/'Base Data'!F52</f>
        <v>0.017745784559643256</v>
      </c>
      <c r="G56" s="8">
        <f>G$47/'Base Data'!G52</f>
        <v>0.022112674965935834</v>
      </c>
      <c r="H56" s="8">
        <f>H$47/'Base Data'!H52</f>
        <v>0.034318194134770226</v>
      </c>
      <c r="I56" s="8">
        <f>I$47/'Base Data'!I52</f>
        <v>0.03787460903629382</v>
      </c>
      <c r="J56" s="8">
        <f>J$47/'Base Data'!J52</f>
        <v>0.04597936408398365</v>
      </c>
      <c r="K56" s="8">
        <f>K$47/'Base Data'!K52</f>
        <v>0.04847127384491515</v>
      </c>
      <c r="L56" s="8">
        <f>L$47/'Base Data'!L52</f>
        <v>0.058499396135265704</v>
      </c>
      <c r="M56" s="8">
        <f>M$47/'Base Data'!M52</f>
        <v>0.0802229291981039</v>
      </c>
      <c r="N56" s="8">
        <f>N$47/'Base Data'!N52</f>
        <v>0.07482835069849551</v>
      </c>
      <c r="O56" s="8">
        <f>O$47/'Base Data'!O52</f>
        <v>0.09691723375459865</v>
      </c>
    </row>
    <row r="57" spans="1:15" ht="12.75">
      <c r="A57" t="str">
        <f t="shared" si="2"/>
        <v>FEMALE38</v>
      </c>
      <c r="B57" s="7">
        <f t="shared" si="3"/>
        <v>38</v>
      </c>
      <c r="C57" s="8">
        <f>C$47/'Base Data'!C53</f>
        <v>0.003116475884142977</v>
      </c>
      <c r="D57" s="8">
        <f>D$47/'Base Data'!D53</f>
        <v>0.010789803903229828</v>
      </c>
      <c r="E57" s="8">
        <f>E$47/'Base Data'!E53</f>
        <v>0.01799924398304028</v>
      </c>
      <c r="F57" s="8">
        <f>F$47/'Base Data'!F53</f>
        <v>0.017865284792368125</v>
      </c>
      <c r="G57" s="8">
        <f>G$47/'Base Data'!G53</f>
        <v>0.022261581868063346</v>
      </c>
      <c r="H57" s="8">
        <f>H$47/'Base Data'!H53</f>
        <v>0.03454929308517271</v>
      </c>
      <c r="I57" s="8">
        <f>I$47/'Base Data'!I53</f>
        <v>0.03812965690859209</v>
      </c>
      <c r="J57" s="8">
        <f>J$47/'Base Data'!J53</f>
        <v>0.04628898943135054</v>
      </c>
      <c r="K57" s="8">
        <f>K$47/'Base Data'!K53</f>
        <v>0.04879767972939268</v>
      </c>
      <c r="L57" s="8">
        <f>L$47/'Base Data'!L53</f>
        <v>0.05889333146277591</v>
      </c>
      <c r="M57" s="8">
        <f>M$47/'Base Data'!M53</f>
        <v>0.08077055473873368</v>
      </c>
      <c r="N57" s="8">
        <f>N$47/'Base Data'!N53</f>
        <v>0.07533933833444764</v>
      </c>
      <c r="O57" s="8">
        <f>O$47/'Base Data'!O53</f>
        <v>0.09758015607067323</v>
      </c>
    </row>
    <row r="58" spans="1:15" ht="12.75">
      <c r="A58" t="str">
        <f t="shared" si="2"/>
        <v>FEMALE39</v>
      </c>
      <c r="B58" s="7">
        <f t="shared" si="3"/>
        <v>39</v>
      </c>
      <c r="C58" s="8">
        <f>C$47/'Base Data'!C54</f>
        <v>0.0031381853399857903</v>
      </c>
      <c r="D58" s="8">
        <f>D$47/'Base Data'!D54</f>
        <v>0.010864105974816855</v>
      </c>
      <c r="E58" s="8">
        <f>E$47/'Base Data'!E54</f>
        <v>0.0181231925855297</v>
      </c>
      <c r="F58" s="8">
        <f>F$47/'Base Data'!F54</f>
        <v>0.017988310908641454</v>
      </c>
      <c r="G58" s="8">
        <f>G$47/'Base Data'!G54</f>
        <v>0.02241488230470114</v>
      </c>
      <c r="H58" s="8">
        <f>H$47/'Base Data'!H54</f>
        <v>0.034787210666541106</v>
      </c>
      <c r="I58" s="8">
        <f>I$47/'Base Data'!I54</f>
        <v>0.03839223003064512</v>
      </c>
      <c r="J58" s="8">
        <f>J$47/'Base Data'!J54</f>
        <v>0.046607750350201885</v>
      </c>
      <c r="K58" s="8">
        <f>K$47/'Base Data'!K54</f>
        <v>0.04913371629919993</v>
      </c>
      <c r="L58" s="8">
        <f>L$47/'Base Data'!L54</f>
        <v>0.05929888994832315</v>
      </c>
      <c r="M58" s="8">
        <f>M$47/'Base Data'!M54</f>
        <v>0.0813257081761893</v>
      </c>
      <c r="N58" s="8">
        <f>N$47/'Base Data'!N54</f>
        <v>0.07585735281724512</v>
      </c>
      <c r="O58" s="8">
        <f>O$47/'Base Data'!O54</f>
        <v>0.09825220973869622</v>
      </c>
    </row>
    <row r="59" spans="1:15" ht="12.75">
      <c r="A59" t="str">
        <f t="shared" si="2"/>
        <v>FEMALE40</v>
      </c>
      <c r="B59" s="7">
        <f t="shared" si="3"/>
        <v>40</v>
      </c>
      <c r="C59" s="8">
        <f>C$47/'Base Data'!C55</f>
        <v>0.003160199374855106</v>
      </c>
      <c r="D59" s="8">
        <f>D$47/'Base Data'!D55</f>
        <v>0.010940605600799775</v>
      </c>
      <c r="E59" s="8">
        <f>E$47/'Base Data'!E55</f>
        <v>0.018250807085758543</v>
      </c>
      <c r="F59" s="8">
        <f>F$47/'Base Data'!F55</f>
        <v>0.018114975639247483</v>
      </c>
      <c r="G59" s="8">
        <f>G$47/'Base Data'!G55</f>
        <v>0.022572716747474027</v>
      </c>
      <c r="H59" s="8">
        <f>H$47/'Base Data'!H55</f>
        <v>0.035032164886533816</v>
      </c>
      <c r="I59" s="8">
        <f>I$47/'Base Data'!I55</f>
        <v>0.03866256900237482</v>
      </c>
      <c r="J59" s="8">
        <f>J$47/'Base Data'!J55</f>
        <v>0.046935938926230186</v>
      </c>
      <c r="K59" s="8">
        <f>K$47/'Base Data'!K55</f>
        <v>0.049479691469982726</v>
      </c>
      <c r="L59" s="8">
        <f>L$47/'Base Data'!L55</f>
        <v>0.05971644321158884</v>
      </c>
      <c r="M59" s="8">
        <f>M$47/'Base Data'!M55</f>
        <v>0.0818972657035696</v>
      </c>
      <c r="N59" s="8">
        <f>N$47/'Base Data'!N55</f>
        <v>0.07639065431374728</v>
      </c>
      <c r="O59" s="8">
        <f>O$47/'Base Data'!O55</f>
        <v>0.09894398128687747</v>
      </c>
    </row>
    <row r="60" spans="1:15" ht="12.75">
      <c r="A60" t="str">
        <f t="shared" si="2"/>
        <v>FEMALE41</v>
      </c>
      <c r="B60" s="7">
        <f>B59+1</f>
        <v>41</v>
      </c>
      <c r="C60" s="8">
        <f>C$47/'Base Data'!C56</f>
        <v>0.0031825244438003926</v>
      </c>
      <c r="D60" s="8">
        <f>D$47/'Base Data'!D56</f>
        <v>0.011018190211270687</v>
      </c>
      <c r="E60" s="8">
        <f>E$47/'Base Data'!E56</f>
        <v>0.018380231526250655</v>
      </c>
      <c r="F60" s="8">
        <f>F$47/'Base Data'!F56</f>
        <v>0.01824343683965474</v>
      </c>
      <c r="G60" s="8">
        <f>G$47/'Base Data'!G56</f>
        <v>0.02273278973612056</v>
      </c>
      <c r="H60" s="8">
        <f>H$47/'Base Data'!H56</f>
        <v>0.035280593261145535</v>
      </c>
      <c r="I60" s="8">
        <f>I$47/'Base Data'!I56</f>
        <v>0.038936742157436255</v>
      </c>
      <c r="J60" s="8">
        <f>J$47/'Base Data'!J56</f>
        <v>0.047268782159187235</v>
      </c>
      <c r="K60" s="8">
        <f>K$47/'Base Data'!K56</f>
        <v>0.04983057356271066</v>
      </c>
      <c r="L60" s="8">
        <f>L$47/'Base Data'!L56</f>
        <v>0.06013991857980254</v>
      </c>
      <c r="M60" s="8">
        <f>M$47/'Base Data'!M56</f>
        <v>0.08247691391123026</v>
      </c>
      <c r="N60" s="8">
        <f>N$47/'Base Data'!N56</f>
        <v>0.07693003136394802</v>
      </c>
      <c r="O60" s="8">
        <f>O$47/'Base Data'!O56</f>
        <v>0.0996350186165001</v>
      </c>
    </row>
    <row r="61" spans="1:15" ht="12.75">
      <c r="A61" t="str">
        <f t="shared" si="2"/>
        <v>FEMALE42</v>
      </c>
      <c r="B61" s="7">
        <f t="shared" si="3"/>
        <v>42</v>
      </c>
      <c r="C61" s="8">
        <f>C$47/'Base Data'!C57</f>
        <v>0.003205518052261348</v>
      </c>
      <c r="D61" s="8">
        <f>D$47/'Base Data'!D57</f>
        <v>0.011096883053381267</v>
      </c>
      <c r="E61" s="8">
        <f>E$47/'Base Data'!E57</f>
        <v>0.018511504687243243</v>
      </c>
      <c r="F61" s="8">
        <f>F$47/'Base Data'!F57</f>
        <v>0.018373733001478917</v>
      </c>
      <c r="G61" s="8">
        <f>G$47/'Base Data'!G57</f>
        <v>0.022895149234290018</v>
      </c>
      <c r="H61" s="8">
        <f>H$47/'Base Data'!H57</f>
        <v>0.03553257022849058</v>
      </c>
      <c r="I61" s="8">
        <f>I$47/'Base Data'!I57</f>
        <v>0.039214831648009874</v>
      </c>
      <c r="J61" s="8">
        <f>J$47/'Base Data'!J57</f>
        <v>0.047606379780927986</v>
      </c>
      <c r="K61" s="8">
        <f>K$47/'Base Data'!K57</f>
        <v>0.050186467714332654</v>
      </c>
      <c r="L61" s="8">
        <f>L$47/'Base Data'!L57</f>
        <v>0.060569442941480596</v>
      </c>
      <c r="M61" s="8">
        <f>M$47/'Base Data'!M57</f>
        <v>0.08306482581512281</v>
      </c>
      <c r="N61" s="8">
        <f>N$47/'Base Data'!N57</f>
        <v>0.07748007380372535</v>
      </c>
      <c r="O61" s="8">
        <f>O$47/'Base Data'!O57</f>
        <v>0.10035716541525537</v>
      </c>
    </row>
    <row r="62" spans="1:15" ht="12.75">
      <c r="A62" t="str">
        <f t="shared" si="2"/>
        <v>FEMALE43</v>
      </c>
      <c r="B62" s="7">
        <f t="shared" si="3"/>
        <v>43</v>
      </c>
      <c r="C62" s="8">
        <f>C$47/'Base Data'!C58</f>
        <v>0.0032288463344809144</v>
      </c>
      <c r="D62" s="8">
        <f>D$47/'Base Data'!D58</f>
        <v>0.011177926345792052</v>
      </c>
      <c r="E62" s="8">
        <f>E$47/'Base Data'!E58</f>
        <v>0.018646698802574104</v>
      </c>
      <c r="F62" s="8">
        <f>F$47/'Base Data'!F58</f>
        <v>0.01850792093597849</v>
      </c>
      <c r="G62" s="8">
        <f>G$47/'Base Data'!G58</f>
        <v>0.023062358194252678</v>
      </c>
      <c r="H62" s="8">
        <f>H$47/'Base Data'!H58</f>
        <v>0.03579207341197749</v>
      </c>
      <c r="I62" s="8">
        <f>I$47/'Base Data'!I58</f>
        <v>0.03950122730098749</v>
      </c>
      <c r="J62" s="8">
        <f>J$47/'Base Data'!J58</f>
        <v>0.04795406099362934</v>
      </c>
      <c r="K62" s="8">
        <f>K$47/'Base Data'!K58</f>
        <v>0.050552991949874435</v>
      </c>
      <c r="L62" s="8">
        <f>L$47/'Base Data'!L58</f>
        <v>0.06101179662330741</v>
      </c>
      <c r="M62" s="8">
        <f>M$47/'Base Data'!M58</f>
        <v>0.08367028092060728</v>
      </c>
      <c r="N62" s="8">
        <f>N$47/'Base Data'!N58</f>
        <v>0.07804498897569981</v>
      </c>
      <c r="O62" s="8">
        <f>O$47/'Base Data'!O58</f>
        <v>0.10108985676679472</v>
      </c>
    </row>
    <row r="63" spans="1:15" ht="12.75">
      <c r="A63" t="str">
        <f t="shared" si="2"/>
        <v>FEMALE44</v>
      </c>
      <c r="B63" s="7">
        <f t="shared" si="3"/>
        <v>44</v>
      </c>
      <c r="C63" s="8">
        <f>C$47/'Base Data'!C59</f>
        <v>0.0032528779612760956</v>
      </c>
      <c r="D63" s="8">
        <f>D$47/'Base Data'!D59</f>
        <v>0.011261398670799066</v>
      </c>
      <c r="E63" s="8">
        <f>E$47/'Base Data'!E59</f>
        <v>0.01878594496099438</v>
      </c>
      <c r="F63" s="8">
        <f>F$47/'Base Data'!F59</f>
        <v>0.018646130756277912</v>
      </c>
      <c r="G63" s="8">
        <f>G$47/'Base Data'!G59</f>
        <v>0.023234578747427417</v>
      </c>
      <c r="H63" s="8">
        <f>H$47/'Base Data'!H59</f>
        <v>0.03605935443460152</v>
      </c>
      <c r="I63" s="8">
        <f>I$47/'Base Data'!I59</f>
        <v>0.03979620681520528</v>
      </c>
      <c r="J63" s="8">
        <f>J$47/'Base Data'!J59</f>
        <v>0.048312162920662816</v>
      </c>
      <c r="K63" s="8">
        <f>K$47/'Base Data'!K59</f>
        <v>0.05093050166353482</v>
      </c>
      <c r="L63" s="8">
        <f>L$47/'Base Data'!L59</f>
        <v>0.06146740854625766</v>
      </c>
      <c r="M63" s="8">
        <f>M$47/'Base Data'!M59</f>
        <v>0.0842938647766574</v>
      </c>
      <c r="N63" s="8">
        <f>N$47/'Base Data'!N59</f>
        <v>0.07862679855149446</v>
      </c>
      <c r="O63" s="8">
        <f>O$47/'Base Data'!O59</f>
        <v>0.10184434028403742</v>
      </c>
    </row>
    <row r="64" spans="1:15" ht="12.75">
      <c r="A64" t="str">
        <f t="shared" si="2"/>
        <v>FEMALE45</v>
      </c>
      <c r="B64" s="7">
        <f t="shared" si="3"/>
        <v>45</v>
      </c>
      <c r="C64" s="8">
        <f>C$47/'Base Data'!C60</f>
        <v>0.0032776368264391554</v>
      </c>
      <c r="D64" s="8">
        <f>D$47/'Base Data'!D60</f>
        <v>0.011347382571240046</v>
      </c>
      <c r="E64" s="8">
        <f>E$47/'Base Data'!E60</f>
        <v>0.018929380858118273</v>
      </c>
      <c r="F64" s="8">
        <f>F$47/'Base Data'!F60</f>
        <v>0.01878849913319317</v>
      </c>
      <c r="G64" s="8">
        <f>G$47/'Base Data'!G60</f>
        <v>0.023411981196644248</v>
      </c>
      <c r="H64" s="8">
        <f>H$47/'Base Data'!H60</f>
        <v>0.03633467760113771</v>
      </c>
      <c r="I64" s="8">
        <f>I$47/'Base Data'!I60</f>
        <v>0.040100061885499534</v>
      </c>
      <c r="J64" s="8">
        <f>J$47/'Base Data'!J60</f>
        <v>0.04868103967639212</v>
      </c>
      <c r="K64" s="8">
        <f>K$47/'Base Data'!K60</f>
        <v>0.051319370161353114</v>
      </c>
      <c r="L64" s="8">
        <f>L$47/'Base Data'!L60</f>
        <v>0.06193672924889037</v>
      </c>
      <c r="M64" s="8">
        <f>M$47/'Base Data'!M60</f>
        <v>0.08493619240444199</v>
      </c>
      <c r="N64" s="8">
        <f>N$47/'Base Data'!N60</f>
        <v>0.0792245100830478</v>
      </c>
      <c r="O64" s="8">
        <f>O$47/'Base Data'!O60</f>
        <v>0.1026101706545255</v>
      </c>
    </row>
    <row r="65" spans="1:15" ht="12.75">
      <c r="A65" t="str">
        <f t="shared" si="2"/>
        <v>FEMALE46</v>
      </c>
      <c r="B65" s="7">
        <f t="shared" si="3"/>
        <v>46</v>
      </c>
      <c r="C65" s="8">
        <f>C$47/'Base Data'!C61</f>
        <v>0.0033020306052556846</v>
      </c>
      <c r="D65" s="8">
        <f>D$47/'Base Data'!D61</f>
        <v>0.011432140055328461</v>
      </c>
      <c r="E65" s="8">
        <f>E$47/'Base Data'!E61</f>
        <v>0.019070770882365088</v>
      </c>
      <c r="F65" s="8">
        <f>F$47/'Base Data'!F61</f>
        <v>0.018928836863619472</v>
      </c>
      <c r="G65" s="8">
        <f>G$47/'Base Data'!G61</f>
        <v>0.023586853296998223</v>
      </c>
      <c r="H65" s="8">
        <f>H$47/'Base Data'!H61</f>
        <v>0.0366060737437549</v>
      </c>
      <c r="I65" s="8">
        <f>I$47/'Base Data'!I61</f>
        <v>0.04039958297204674</v>
      </c>
      <c r="J65" s="8">
        <f>J$47/'Base Data'!J61</f>
        <v>0.04904465502291589</v>
      </c>
      <c r="K65" s="8">
        <f>K$47/'Base Data'!K61</f>
        <v>0.05170269210124282</v>
      </c>
      <c r="L65" s="8">
        <f>L$47/'Base Data'!L61</f>
        <v>0.06239935587761675</v>
      </c>
      <c r="M65" s="8">
        <f>M$47/'Base Data'!M61</f>
        <v>0.0855598200269465</v>
      </c>
      <c r="N65" s="8">
        <f>N$47/'Base Data'!N61</f>
        <v>0.07980638831228615</v>
      </c>
      <c r="O65" s="8">
        <f>O$47/'Base Data'!O61</f>
        <v>0.10336490568952969</v>
      </c>
    </row>
    <row r="66" spans="1:15" ht="12.75">
      <c r="A66" t="str">
        <f t="shared" si="2"/>
        <v>FEMALE47</v>
      </c>
      <c r="B66" s="7">
        <f t="shared" si="3"/>
        <v>47</v>
      </c>
      <c r="C66" s="8">
        <f>C$47/'Base Data'!C62</f>
        <v>0.0033275462962962968</v>
      </c>
      <c r="D66" s="8">
        <f>D$47/'Base Data'!D62</f>
        <v>0.011519467119332319</v>
      </c>
      <c r="E66" s="8">
        <f>E$47/'Base Data'!E62</f>
        <v>0.019216447406741725</v>
      </c>
      <c r="F66" s="8">
        <f>F$47/'Base Data'!F62</f>
        <v>0.019073429191941885</v>
      </c>
      <c r="G66" s="8">
        <f>G$47/'Base Data'!G62</f>
        <v>0.023767026968554712</v>
      </c>
      <c r="H66" s="8">
        <f>H$47/'Base Data'!H62</f>
        <v>0.03688569776246703</v>
      </c>
      <c r="I66" s="8">
        <f>I$47/'Base Data'!I62</f>
        <v>0.04070818459438994</v>
      </c>
      <c r="J66" s="8">
        <f>J$47/'Base Data'!J62</f>
        <v>0.0494192940412891</v>
      </c>
      <c r="K66" s="8">
        <f>K$47/'Base Data'!K62</f>
        <v>0.05209763515481331</v>
      </c>
      <c r="L66" s="8">
        <f>L$47/'Base Data'!L62</f>
        <v>0.06287600788836466</v>
      </c>
      <c r="M66" s="8">
        <f>M$47/'Base Data'!M62</f>
        <v>0.08622166168410562</v>
      </c>
      <c r="N66" s="8">
        <f>N$47/'Base Data'!N62</f>
        <v>0.08042385196270638</v>
      </c>
      <c r="O66" s="8">
        <f>O$47/'Base Data'!O62</f>
        <v>0.10416538620709435</v>
      </c>
    </row>
    <row r="67" spans="1:15" ht="12.75">
      <c r="A67" t="str">
        <f t="shared" si="2"/>
        <v>FEMALE48</v>
      </c>
      <c r="B67" s="7">
        <f t="shared" si="3"/>
        <v>48</v>
      </c>
      <c r="C67" s="8">
        <f>C$47/'Base Data'!C63</f>
        <v>0.003353843478113322</v>
      </c>
      <c r="D67" s="8">
        <f>D$47/'Base Data'!D63</f>
        <v>0.01161208201747212</v>
      </c>
      <c r="E67" s="8">
        <f>E$47/'Base Data'!E63</f>
        <v>0.01937094494562505</v>
      </c>
      <c r="F67" s="8">
        <f>F$47/'Base Data'!F63</f>
        <v>0.019226776884460048</v>
      </c>
      <c r="G67" s="8">
        <f>G$47/'Base Data'!G63</f>
        <v>0.023958110528147895</v>
      </c>
      <c r="H67" s="8">
        <f>H$47/'Base Data'!H63</f>
        <v>0.037182253593192334</v>
      </c>
      <c r="I67" s="8">
        <f>I$47/'Base Data'!I63</f>
        <v>0.04103547268251152</v>
      </c>
      <c r="J67" s="8">
        <f>J$47/'Base Data'!J63</f>
        <v>0.049816618226198116</v>
      </c>
      <c r="K67" s="8">
        <f>K$47/'Base Data'!K63</f>
        <v>0.05251649282619727</v>
      </c>
      <c r="L67" s="8">
        <f>L$47/'Base Data'!L63</f>
        <v>0.06338152216308711</v>
      </c>
      <c r="M67" s="8">
        <f>M$47/'Base Data'!M63</f>
        <v>0.08691346165919563</v>
      </c>
      <c r="N67" s="8">
        <f>N$47/'Base Data'!N63</f>
        <v>0.08106758058491542</v>
      </c>
      <c r="O67" s="8">
        <f>O$47/'Base Data'!O63</f>
        <v>0.10499006756533519</v>
      </c>
    </row>
    <row r="68" spans="1:15" ht="12.75">
      <c r="A68" t="str">
        <f t="shared" si="2"/>
        <v>FEMALE49</v>
      </c>
      <c r="B68" s="7">
        <f t="shared" si="3"/>
        <v>49</v>
      </c>
      <c r="C68" s="8">
        <f>C$47/'Base Data'!C64</f>
        <v>0.003381730847373532</v>
      </c>
      <c r="D68" s="8">
        <f>D$47/'Base Data'!D64</f>
        <v>0.011707534683901849</v>
      </c>
      <c r="E68" s="8">
        <f>E$47/'Base Data'!E64</f>
        <v>0.019530176368856584</v>
      </c>
      <c r="F68" s="8">
        <f>F$47/'Base Data'!F64</f>
        <v>0.019384823229440195</v>
      </c>
      <c r="G68" s="8">
        <f>G$47/'Base Data'!G64</f>
        <v>0.024155048986650766</v>
      </c>
      <c r="H68" s="8">
        <f>H$47/'Base Data'!H64</f>
        <v>0.037487896047663144</v>
      </c>
      <c r="I68" s="8">
        <f>I$47/'Base Data'!I64</f>
        <v>0.04137278904661026</v>
      </c>
      <c r="J68" s="8">
        <f>J$47/'Base Data'!J64</f>
        <v>0.05022611662924484</v>
      </c>
      <c r="K68" s="8">
        <f>K$47/'Base Data'!K64</f>
        <v>0.05294818451286084</v>
      </c>
      <c r="L68" s="8">
        <f>L$47/'Base Data'!L64</f>
        <v>0.0639025256561505</v>
      </c>
      <c r="M68" s="8">
        <f>M$47/'Base Data'!M64</f>
        <v>0.08762643525375664</v>
      </c>
      <c r="N68" s="8">
        <f>N$47/'Base Data'!N64</f>
        <v>0.08173431796667935</v>
      </c>
      <c r="O68" s="8">
        <f>O$47/'Base Data'!O64</f>
        <v>0.1058636075923011</v>
      </c>
    </row>
    <row r="69" spans="1:15" ht="12.75">
      <c r="A69" t="str">
        <f t="shared" si="2"/>
        <v>FEMALE50</v>
      </c>
      <c r="B69" s="7">
        <f t="shared" si="3"/>
        <v>50</v>
      </c>
      <c r="C69" s="8">
        <f>C$47/'Base Data'!C65</f>
        <v>0.0034108803037166467</v>
      </c>
      <c r="D69" s="8">
        <f>D$47/'Base Data'!D65</f>
        <v>0.011808647661941075</v>
      </c>
      <c r="E69" s="8">
        <f>E$47/'Base Data'!E65</f>
        <v>0.019698850162922023</v>
      </c>
      <c r="F69" s="8">
        <f>F$47/'Base Data'!F65</f>
        <v>0.019552241670505146</v>
      </c>
      <c r="G69" s="8">
        <f>G$47/'Base Data'!G65</f>
        <v>0.0243636658307317</v>
      </c>
      <c r="H69" s="8">
        <f>H$47/'Base Data'!H65</f>
        <v>0.03781166299878875</v>
      </c>
      <c r="I69" s="8">
        <f>I$47/'Base Data'!I65</f>
        <v>0.041730108159748876</v>
      </c>
      <c r="J69" s="8">
        <f>J$47/'Base Data'!J65</f>
        <v>0.050659898152413126</v>
      </c>
      <c r="K69" s="8">
        <f>K$47/'Base Data'!K65</f>
        <v>0.053405475374038246</v>
      </c>
      <c r="L69" s="8">
        <f>L$47/'Base Data'!L65</f>
        <v>0.06445442448436461</v>
      </c>
      <c r="M69" s="8">
        <f>M$47/'Base Data'!M65</f>
        <v>0.08838166194233764</v>
      </c>
      <c r="N69" s="8">
        <f>N$47/'Base Data'!N65</f>
        <v>0.08243706760409678</v>
      </c>
      <c r="O69" s="8">
        <f>O$47/'Base Data'!O65</f>
        <v>0.10676391041228324</v>
      </c>
    </row>
    <row r="70" spans="1:15" ht="12.75">
      <c r="A70" t="str">
        <f t="shared" si="2"/>
        <v>FEMALE51</v>
      </c>
      <c r="B70" s="7">
        <f t="shared" si="3"/>
        <v>51</v>
      </c>
      <c r="C70" s="8">
        <f>C$47/'Base Data'!C66</f>
        <v>0.0034409409409409415</v>
      </c>
      <c r="D70" s="8">
        <f>D$47/'Base Data'!D66</f>
        <v>0.011912906168250035</v>
      </c>
      <c r="E70" s="8">
        <f>E$47/'Base Data'!E66</f>
        <v>0.019872771237780532</v>
      </c>
      <c r="F70" s="8">
        <f>F$47/'Base Data'!F66</f>
        <v>0.01972486833952912</v>
      </c>
      <c r="G70" s="8">
        <f>G$47/'Base Data'!G66</f>
        <v>0.02457877254577998</v>
      </c>
      <c r="H70" s="8">
        <f>H$47/'Base Data'!H66</f>
        <v>0.03814550203084125</v>
      </c>
      <c r="I70" s="8">
        <f>I$47/'Base Data'!I66</f>
        <v>0.04209854312956079</v>
      </c>
      <c r="J70" s="8">
        <f>J$47/'Base Data'!J66</f>
        <v>0.05110717420487402</v>
      </c>
      <c r="K70" s="8">
        <f>K$47/'Base Data'!K66</f>
        <v>0.05387699211758226</v>
      </c>
      <c r="L70" s="8">
        <f>L$47/'Base Data'!L66</f>
        <v>0.06502349235852953</v>
      </c>
      <c r="M70" s="8">
        <f>M$47/'Base Data'!M66</f>
        <v>0.08916035499909832</v>
      </c>
      <c r="N70" s="8">
        <f>N$47/'Base Data'!N66</f>
        <v>0.08316334771745994</v>
      </c>
      <c r="O70" s="8">
        <f>O$47/'Base Data'!O66</f>
        <v>0.10770429260191329</v>
      </c>
    </row>
    <row r="71" spans="1:15" ht="12.75">
      <c r="A71" t="str">
        <f t="shared" si="2"/>
        <v>FEMALE52</v>
      </c>
      <c r="B71" s="7">
        <f t="shared" si="3"/>
        <v>52</v>
      </c>
      <c r="C71" s="8">
        <f>C$47/'Base Data'!C67</f>
        <v>0.0034723594696320897</v>
      </c>
      <c r="D71" s="8">
        <f>D$47/'Base Data'!D67</f>
        <v>0.012021840128522426</v>
      </c>
      <c r="E71" s="8">
        <f>E$47/'Base Data'!E67</f>
        <v>0.020054491771959535</v>
      </c>
      <c r="F71" s="8">
        <f>F$47/'Base Data'!F67</f>
        <v>0.01990523642047675</v>
      </c>
      <c r="G71" s="8">
        <f>G$47/'Base Data'!G67</f>
        <v>0.024803525682775388</v>
      </c>
      <c r="H71" s="8">
        <f>H$47/'Base Data'!H67</f>
        <v>0.03849431201424167</v>
      </c>
      <c r="I71" s="8">
        <f>I$47/'Base Data'!I67</f>
        <v>0.04248350049932699</v>
      </c>
      <c r="J71" s="8">
        <f>J$47/'Base Data'!J67</f>
        <v>0.05157450827146021</v>
      </c>
      <c r="K71" s="8">
        <f>K$47/'Base Data'!K67</f>
        <v>0.054369653944683245</v>
      </c>
      <c r="L71" s="8">
        <f>L$47/'Base Data'!L67</f>
        <v>0.06561807997915853</v>
      </c>
      <c r="M71" s="8">
        <f>M$47/'Base Data'!M67</f>
        <v>0.0899739380231893</v>
      </c>
      <c r="N71" s="8">
        <f>N$47/'Base Data'!N67</f>
        <v>0.08392212246565077</v>
      </c>
      <c r="O71" s="8">
        <f>O$47/'Base Data'!O67</f>
        <v>0.10868647419207272</v>
      </c>
    </row>
    <row r="72" spans="1:15" ht="12.75">
      <c r="A72" t="str">
        <f t="shared" si="2"/>
        <v>FEMALE53</v>
      </c>
      <c r="B72" s="7">
        <f t="shared" si="3"/>
        <v>53</v>
      </c>
      <c r="C72" s="8">
        <f>C$47/'Base Data'!C68</f>
        <v>0.0035051960028019405</v>
      </c>
      <c r="D72" s="8">
        <f>D$47/'Base Data'!D68</f>
        <v>0.012135656366425596</v>
      </c>
      <c r="E72" s="8">
        <f>E$47/'Base Data'!E68</f>
        <v>0.020244356782818322</v>
      </c>
      <c r="F72" s="8">
        <f>F$47/'Base Data'!F68</f>
        <v>0.020093688362919134</v>
      </c>
      <c r="G72" s="8">
        <f>G$47/'Base Data'!G68</f>
        <v>0.025038351961428885</v>
      </c>
      <c r="H72" s="8">
        <f>H$47/'Base Data'!H68</f>
        <v>0.03885875520490905</v>
      </c>
      <c r="I72" s="8">
        <f>I$47/'Base Data'!I68</f>
        <v>0.04288571115494192</v>
      </c>
      <c r="J72" s="8">
        <f>J$47/'Base Data'!J68</f>
        <v>0.05206278763971072</v>
      </c>
      <c r="K72" s="8">
        <f>K$47/'Base Data'!K68</f>
        <v>0.054884396230550074</v>
      </c>
      <c r="L72" s="8">
        <f>L$47/'Base Data'!L68</f>
        <v>0.06623931623931624</v>
      </c>
      <c r="M72" s="8">
        <f>M$47/'Base Data'!M68</f>
        <v>0.09082395160867054</v>
      </c>
      <c r="N72" s="8">
        <f>N$47/'Base Data'!N68</f>
        <v>0.08471482601893891</v>
      </c>
      <c r="O72" s="8">
        <f>O$47/'Base Data'!O68</f>
        <v>0.10971229619272034</v>
      </c>
    </row>
    <row r="73" spans="1:15" ht="12.75">
      <c r="A73" t="str">
        <f t="shared" si="2"/>
        <v>FEMALE54</v>
      </c>
      <c r="B73" s="7">
        <f t="shared" si="3"/>
        <v>54</v>
      </c>
      <c r="C73" s="8">
        <f>C$47/'Base Data'!C69</f>
        <v>0.0035395149773247204</v>
      </c>
      <c r="D73" s="8">
        <f>D$47/'Base Data'!D69</f>
        <v>0.012253112235188946</v>
      </c>
      <c r="E73" s="8">
        <f>E$47/'Base Data'!E69</f>
        <v>0.020440293322358086</v>
      </c>
      <c r="F73" s="8">
        <f>F$47/'Base Data'!F69</f>
        <v>0.020288166646751902</v>
      </c>
      <c r="G73" s="8">
        <f>G$47/'Base Data'!G69</f>
        <v>0.02528068754619119</v>
      </c>
      <c r="H73" s="8">
        <f>H$47/'Base Data'!H69</f>
        <v>0.03923485260861292</v>
      </c>
      <c r="I73" s="8">
        <f>I$47/'Base Data'!I69</f>
        <v>0.043300783756632724</v>
      </c>
      <c r="J73" s="8">
        <f>J$47/'Base Data'!J69</f>
        <v>0.052566681270827524</v>
      </c>
      <c r="K73" s="8">
        <f>K$47/'Base Data'!K69</f>
        <v>0.05541559901399786</v>
      </c>
      <c r="L73" s="8">
        <f>L$47/'Base Data'!L69</f>
        <v>0.06688041847559113</v>
      </c>
      <c r="M73" s="8">
        <f>M$47/'Base Data'!M69</f>
        <v>0.09171204653258075</v>
      </c>
      <c r="N73" s="8">
        <f>N$47/'Base Data'!N69</f>
        <v>0.08554299501547705</v>
      </c>
      <c r="O73" s="8">
        <f>O$47/'Base Data'!O69</f>
        <v>0.11078373054782045</v>
      </c>
    </row>
    <row r="74" spans="1:15" ht="12.75">
      <c r="A74" t="str">
        <f t="shared" si="2"/>
        <v>FEMALE55</v>
      </c>
      <c r="B74" s="7">
        <f t="shared" si="3"/>
        <v>55</v>
      </c>
      <c r="C74" s="8">
        <f>C$47/'Base Data'!C70</f>
        <v>0.003575385519829965</v>
      </c>
      <c r="D74" s="8">
        <f>D$47/'Base Data'!D70</f>
        <v>0.012377344151635038</v>
      </c>
      <c r="E74" s="8">
        <f>E$47/'Base Data'!E70</f>
        <v>0.020647533471914885</v>
      </c>
      <c r="F74" s="8">
        <f>F$47/'Base Data'!F70</f>
        <v>0.020493864413598874</v>
      </c>
      <c r="G74" s="8">
        <f>G$47/'Base Data'!G70</f>
        <v>0.025537003509242494</v>
      </c>
      <c r="H74" s="8">
        <f>H$47/'Base Data'!H70</f>
        <v>0.03963264713113838</v>
      </c>
      <c r="I74" s="8">
        <f>I$47/'Base Data'!I70</f>
        <v>0.04373980196249357</v>
      </c>
      <c r="J74" s="8">
        <f>J$47/'Base Data'!J70</f>
        <v>0.05309964460537786</v>
      </c>
      <c r="K74" s="8">
        <f>K$47/'Base Data'!K70</f>
        <v>0.05597744697020496</v>
      </c>
      <c r="L74" s="8">
        <f>L$47/'Base Data'!L70</f>
        <v>0.06755850600147523</v>
      </c>
      <c r="M74" s="8">
        <f>M$47/'Base Data'!M70</f>
        <v>0.09263999304049893</v>
      </c>
      <c r="N74" s="8">
        <f>N$47/'Base Data'!N70</f>
        <v>0.08640827719036254</v>
      </c>
      <c r="O74" s="8">
        <f>O$47/'Base Data'!O70</f>
        <v>0.1119028911250209</v>
      </c>
    </row>
    <row r="75" spans="1:15" ht="12.75">
      <c r="A75" t="str">
        <f t="shared" si="2"/>
        <v>FEMALE56</v>
      </c>
      <c r="B75" s="7">
        <f t="shared" si="3"/>
        <v>56</v>
      </c>
      <c r="C75" s="8">
        <f>C$47/'Base Data'!C71</f>
        <v>0.003613327666264488</v>
      </c>
      <c r="D75" s="8">
        <f>D$47/'Base Data'!D71</f>
        <v>0.012508696791448682</v>
      </c>
      <c r="E75" s="8">
        <f>E$47/'Base Data'!E71</f>
        <v>0.020866652209662703</v>
      </c>
      <c r="F75" s="8">
        <f>F$47/'Base Data'!F71</f>
        <v>0.020711352362364804</v>
      </c>
      <c r="G75" s="8">
        <f>G$47/'Base Data'!G71</f>
        <v>0.025808010987323014</v>
      </c>
      <c r="H75" s="8">
        <f>H$47/'Base Data'!H71</f>
        <v>0.040053242434920894</v>
      </c>
      <c r="I75" s="8">
        <f>I$47/'Base Data'!I71</f>
        <v>0.04420398380815556</v>
      </c>
      <c r="J75" s="8">
        <f>J$47/'Base Data'!J71</f>
        <v>0.053663156325391016</v>
      </c>
      <c r="K75" s="8">
        <f>K$47/'Base Data'!K71</f>
        <v>0.05657149892024251</v>
      </c>
      <c r="L75" s="8">
        <f>L$47/'Base Data'!L71</f>
        <v>0.06827546013932938</v>
      </c>
      <c r="M75" s="8">
        <f>M$47/'Base Data'!M71</f>
        <v>0.09362108608913233</v>
      </c>
      <c r="N75" s="8">
        <f>N$47/'Base Data'!N71</f>
        <v>0.08732304364191641</v>
      </c>
      <c r="O75" s="8">
        <f>O$47/'Base Data'!O71</f>
        <v>0.11308562646239803</v>
      </c>
    </row>
    <row r="76" spans="1:15" ht="12.75">
      <c r="A76" t="str">
        <f t="shared" si="2"/>
        <v>FEMALE57</v>
      </c>
      <c r="B76" s="7">
        <f t="shared" si="3"/>
        <v>57</v>
      </c>
      <c r="C76" s="8">
        <f>C$47/'Base Data'!C72</f>
        <v>0.00365253927995602</v>
      </c>
      <c r="D76" s="8">
        <f>D$47/'Base Data'!D72</f>
        <v>0.012644426177101886</v>
      </c>
      <c r="E76" s="8">
        <f>E$47/'Base Data'!E72</f>
        <v>0.02109307211033475</v>
      </c>
      <c r="F76" s="8">
        <f>F$47/'Base Data'!F72</f>
        <v>0.020936087135224</v>
      </c>
      <c r="G76" s="8">
        <f>G$47/'Base Data'!G72</f>
        <v>0.026088048591131202</v>
      </c>
      <c r="H76" s="8">
        <f>H$47/'Base Data'!H72</f>
        <v>0.0404878522171987</v>
      </c>
      <c r="I76" s="8">
        <f>I$47/'Base Data'!I72</f>
        <v>0.04468363246106772</v>
      </c>
      <c r="J76" s="8">
        <f>J$47/'Base Data'!J72</f>
        <v>0.05424544458144951</v>
      </c>
      <c r="K76" s="8">
        <f>K$47/'Base Data'!K72</f>
        <v>0.05718534502443256</v>
      </c>
      <c r="L76" s="8">
        <f>L$47/'Base Data'!L72</f>
        <v>0.06901630360323331</v>
      </c>
      <c r="M76" s="8">
        <f>M$47/'Base Data'!M72</f>
        <v>0.0946464708617059</v>
      </c>
      <c r="N76" s="8">
        <f>N$47/'Base Data'!N72</f>
        <v>0.0882771117429116</v>
      </c>
      <c r="O76" s="8">
        <f>O$47/'Base Data'!O72</f>
        <v>0.1143075058790732</v>
      </c>
    </row>
    <row r="77" spans="1:15" ht="12.75">
      <c r="A77" t="str">
        <f t="shared" si="2"/>
        <v>FEMALE58</v>
      </c>
      <c r="B77" s="7">
        <f t="shared" si="3"/>
        <v>58</v>
      </c>
      <c r="C77" s="8">
        <f>C$47/'Base Data'!C73</f>
        <v>0.0036930769841603496</v>
      </c>
      <c r="D77" s="8">
        <f>D$47/'Base Data'!D73</f>
        <v>0.012784727128325183</v>
      </c>
      <c r="E77" s="8">
        <f>E$47/'Base Data'!E73</f>
        <v>0.02132711816666436</v>
      </c>
      <c r="F77" s="8">
        <f>F$47/'Base Data'!F73</f>
        <v>0.021168391306154676</v>
      </c>
      <c r="G77" s="8">
        <f>G$47/'Base Data'!G73</f>
        <v>0.026377518273790555</v>
      </c>
      <c r="H77" s="8">
        <f>H$47/'Base Data'!H73</f>
        <v>0.04093710029690581</v>
      </c>
      <c r="I77" s="8">
        <f>I$47/'Base Data'!I73</f>
        <v>0.045179436386891814</v>
      </c>
      <c r="J77" s="8">
        <f>J$47/'Base Data'!J73</f>
        <v>0.05484734516339054</v>
      </c>
      <c r="K77" s="8">
        <f>K$47/'Base Data'!K73</f>
        <v>0.057819866369299096</v>
      </c>
      <c r="L77" s="8">
        <f>L$47/'Base Data'!L73</f>
        <v>0.06978209976589231</v>
      </c>
      <c r="M77" s="8">
        <f>M$47/'Base Data'!M73</f>
        <v>0.09568266014210278</v>
      </c>
      <c r="N77" s="8">
        <f>N$47/'Base Data'!N73</f>
        <v>0.08924515434770713</v>
      </c>
      <c r="O77" s="8">
        <f>O$47/'Base Data'!O73</f>
        <v>0.11557026217330625</v>
      </c>
    </row>
    <row r="78" spans="1:15" ht="12.75">
      <c r="A78" t="str">
        <f t="shared" si="2"/>
        <v>FEMALE59</v>
      </c>
      <c r="B78" s="7">
        <f t="shared" si="3"/>
        <v>59</v>
      </c>
      <c r="C78" s="8">
        <f>C$47/'Base Data'!C74</f>
        <v>0.003734524602398599</v>
      </c>
      <c r="D78" s="8">
        <f>D$47/'Base Data'!D74</f>
        <v>0.012928176537606693</v>
      </c>
      <c r="E78" s="8">
        <f>E$47/'Base Data'!E74</f>
        <v>0.021566416391176856</v>
      </c>
      <c r="F78" s="8">
        <f>F$47/'Base Data'!F74</f>
        <v>0.021405908556059842</v>
      </c>
      <c r="G78" s="8">
        <f>G$47/'Base Data'!G74</f>
        <v>0.026673483872172724</v>
      </c>
      <c r="H78" s="8">
        <f>H$47/'Base Data'!H74</f>
        <v>0.04139642983881511</v>
      </c>
      <c r="I78" s="8">
        <f>I$47/'Base Data'!I74</f>
        <v>0.04568636652285164</v>
      </c>
      <c r="J78" s="8">
        <f>J$47/'Base Data'!J74</f>
        <v>0.055462752843615175</v>
      </c>
      <c r="K78" s="8">
        <f>K$47/'Base Data'!K74</f>
        <v>0.05846862684671559</v>
      </c>
      <c r="L78" s="8">
        <f>L$47/'Base Data'!L74</f>
        <v>0.07056508096598868</v>
      </c>
      <c r="M78" s="8">
        <f>M$47/'Base Data'!M74</f>
        <v>0.09676613263993736</v>
      </c>
      <c r="N78" s="8">
        <f>N$47/'Base Data'!N74</f>
        <v>0.09025528318598507</v>
      </c>
      <c r="O78" s="8">
        <f>O$47/'Base Data'!O74</f>
        <v>0.11687573559159956</v>
      </c>
    </row>
    <row r="79" spans="1:15" ht="12.75">
      <c r="A79" t="str">
        <f t="shared" si="2"/>
        <v>FEMALE60</v>
      </c>
      <c r="B79" s="7">
        <f t="shared" si="3"/>
        <v>60</v>
      </c>
      <c r="C79" s="8">
        <f>C$47/'Base Data'!C75</f>
        <v>0.0037774003363528655</v>
      </c>
      <c r="D79" s="8">
        <f>D$47/'Base Data'!D75</f>
        <v>0.013076548877364995</v>
      </c>
      <c r="E79" s="8">
        <f>E$47/'Base Data'!E75</f>
        <v>0.021813926908290593</v>
      </c>
      <c r="F79" s="8">
        <f>F$47/'Base Data'!F75</f>
        <v>0.021651576978661907</v>
      </c>
      <c r="G79" s="8">
        <f>G$47/'Base Data'!G75</f>
        <v>0.026979606487385115</v>
      </c>
      <c r="H79" s="8">
        <f>H$47/'Base Data'!H75</f>
        <v>0.04187152275968904</v>
      </c>
      <c r="I79" s="8">
        <f>I$47/'Base Data'!I75</f>
        <v>0.04621069360612844</v>
      </c>
      <c r="J79" s="8">
        <f>J$47/'Base Data'!J75</f>
        <v>0.056099280228966535</v>
      </c>
      <c r="K79" s="8">
        <f>K$47/'Base Data'!K75</f>
        <v>0.05913965163837644</v>
      </c>
      <c r="L79" s="8">
        <f>L$47/'Base Data'!L75</f>
        <v>0.07137493269857463</v>
      </c>
      <c r="M79" s="8">
        <f>M$47/'Base Data'!M75</f>
        <v>0.09787442380023187</v>
      </c>
      <c r="N79" s="8">
        <f>N$47/'Base Data'!N75</f>
        <v>0.0912885402607888</v>
      </c>
      <c r="O79" s="8">
        <f>O$47/'Base Data'!O75</f>
        <v>0.11821103903652555</v>
      </c>
    </row>
    <row r="80" spans="1:15" ht="12.75">
      <c r="A80" t="str">
        <f t="shared" si="2"/>
        <v>FEMALE61</v>
      </c>
      <c r="B80" s="7">
        <f t="shared" si="3"/>
        <v>61</v>
      </c>
      <c r="C80" s="8">
        <f>C$47/'Base Data'!C76</f>
        <v>0.003821272009318467</v>
      </c>
      <c r="D80" s="8">
        <f>D$47/'Base Data'!D76</f>
        <v>0.013228366395291059</v>
      </c>
      <c r="E80" s="8">
        <f>E$47/'Base Data'!E76</f>
        <v>0.022067184573634525</v>
      </c>
      <c r="F80" s="8">
        <f>F$47/'Base Data'!F76</f>
        <v>0.021902949776401788</v>
      </c>
      <c r="G80" s="8">
        <f>G$47/'Base Data'!G76</f>
        <v>0.02729283721285785</v>
      </c>
      <c r="H80" s="8">
        <f>H$47/'Base Data'!H76</f>
        <v>0.042357647249933114</v>
      </c>
      <c r="I80" s="8">
        <f>I$47/'Base Data'!I76</f>
        <v>0.046747195466880706</v>
      </c>
      <c r="J80" s="8">
        <f>J$47/'Base Data'!J76</f>
        <v>0.05675058766196537</v>
      </c>
      <c r="K80" s="8">
        <f>K$47/'Base Data'!K76</f>
        <v>0.0598262575010511</v>
      </c>
      <c r="L80" s="8">
        <f>L$47/'Base Data'!L76</f>
        <v>0.07220358903795436</v>
      </c>
      <c r="M80" s="8">
        <f>M$47/'Base Data'!M76</f>
        <v>0.09900839626959605</v>
      </c>
      <c r="N80" s="8">
        <f>N$47/'Base Data'!N76</f>
        <v>0.09234572909839069</v>
      </c>
      <c r="O80" s="8">
        <f>O$47/'Base Data'!O76</f>
        <v>0.11957720674700609</v>
      </c>
    </row>
    <row r="81" spans="1:15" ht="12.75">
      <c r="A81" t="str">
        <f t="shared" si="2"/>
        <v>FEMALE62</v>
      </c>
      <c r="B81" s="7">
        <f t="shared" si="3"/>
        <v>62</v>
      </c>
      <c r="C81" s="8">
        <f>C$47/'Base Data'!C77</f>
        <v>0.0038671959069476246</v>
      </c>
      <c r="D81" s="8">
        <f>D$47/'Base Data'!D77</f>
        <v>0.013385497493316315</v>
      </c>
      <c r="E81" s="8">
        <f>E$47/'Base Data'!E77</f>
        <v>0.022329306202168754</v>
      </c>
      <c r="F81" s="8">
        <f>F$47/'Base Data'!F77</f>
        <v>0.022163120567375887</v>
      </c>
      <c r="G81" s="8">
        <f>G$47/'Base Data'!G77</f>
        <v>0.02761703094557813</v>
      </c>
      <c r="H81" s="8">
        <f>H$47/'Base Data'!H77</f>
        <v>0.04286078599157832</v>
      </c>
      <c r="I81" s="8">
        <f>I$47/'Base Data'!I77</f>
        <v>0.04730247477604219</v>
      </c>
      <c r="J81" s="8">
        <f>J$47/'Base Data'!J77</f>
        <v>0.05742469071342587</v>
      </c>
      <c r="K81" s="8">
        <f>K$47/'Base Data'!K77</f>
        <v>0.06053689441954681</v>
      </c>
      <c r="L81" s="8">
        <f>L$47/'Base Data'!L77</f>
        <v>0.07306124816893646</v>
      </c>
      <c r="M81" s="8">
        <f>M$47/'Base Data'!M77</f>
        <v>0.1001820010710202</v>
      </c>
      <c r="N81" s="8">
        <f>N$47/'Base Data'!N77</f>
        <v>0.09343983092093348</v>
      </c>
      <c r="O81" s="8">
        <f>O$47/'Base Data'!O77</f>
        <v>0.1209908668627507</v>
      </c>
    </row>
    <row r="82" spans="1:15" ht="12.75">
      <c r="A82" t="str">
        <f t="shared" si="2"/>
        <v>FEMALE63</v>
      </c>
      <c r="B82" s="7">
        <f t="shared" si="3"/>
        <v>63</v>
      </c>
      <c r="C82" s="8">
        <f>C$47/'Base Data'!C78</f>
        <v>0.003913713901016762</v>
      </c>
      <c r="D82" s="8">
        <f>D$47/'Base Data'!D78</f>
        <v>0.013548196102034124</v>
      </c>
      <c r="E82" s="8">
        <f>E$47/'Base Data'!E78</f>
        <v>0.022600715393686726</v>
      </c>
      <c r="F82" s="8">
        <f>F$47/'Base Data'!F78</f>
        <v>0.022432509798740476</v>
      </c>
      <c r="G82" s="8">
        <f>G$47/'Base Data'!G78</f>
        <v>0.02795271159652187</v>
      </c>
      <c r="H82" s="8">
        <f>H$47/'Base Data'!H78</f>
        <v>0.0433817520784095</v>
      </c>
      <c r="I82" s="8">
        <f>I$47/'Base Data'!I78</f>
        <v>0.04787742888879102</v>
      </c>
      <c r="J82" s="8">
        <f>J$47/'Base Data'!J78</f>
        <v>0.05812267876278974</v>
      </c>
      <c r="K82" s="8">
        <f>K$47/'Base Data'!K78</f>
        <v>0.06127271081360128</v>
      </c>
      <c r="L82" s="8">
        <f>L$47/'Base Data'!L78</f>
        <v>0.0739492961054594</v>
      </c>
      <c r="M82" s="8">
        <f>M$47/'Base Data'!M78</f>
        <v>0.10138376248645163</v>
      </c>
      <c r="N82" s="8">
        <f>N$47/'Base Data'!N78</f>
        <v>0.09456239936968829</v>
      </c>
      <c r="O82" s="8">
        <f>O$47/'Base Data'!O78</f>
        <v>0.12245427570892521</v>
      </c>
    </row>
    <row r="83" spans="1:15" ht="12.75">
      <c r="A83" t="str">
        <f t="shared" si="2"/>
        <v>FEMALE64</v>
      </c>
      <c r="B83" s="7">
        <f t="shared" si="3"/>
        <v>64</v>
      </c>
      <c r="C83" s="8">
        <f>C$47/'Base Data'!C79</f>
        <v>0.003962436726306822</v>
      </c>
      <c r="D83" s="8">
        <f>D$47/'Base Data'!D79</f>
        <v>0.013714898528326372</v>
      </c>
      <c r="E83" s="8">
        <f>E$47/'Base Data'!E79</f>
        <v>0.022878803639804043</v>
      </c>
      <c r="F83" s="8">
        <f>F$47/'Base Data'!F79</f>
        <v>0.02270852837590834</v>
      </c>
      <c r="G83" s="8">
        <f>G$47/'Base Data'!G79</f>
        <v>0.028296652945576307</v>
      </c>
      <c r="H83" s="8">
        <f>H$47/'Base Data'!H79</f>
        <v>0.04391553851564551</v>
      </c>
      <c r="I83" s="8">
        <f>I$47/'Base Data'!I79</f>
        <v>0.048466531932494214</v>
      </c>
      <c r="J83" s="8">
        <f>J$47/'Base Data'!J79</f>
        <v>0.058837843460686844</v>
      </c>
      <c r="K83" s="8">
        <f>K$47/'Base Data'!K79</f>
        <v>0.062026634766369944</v>
      </c>
      <c r="L83" s="8">
        <f>L$47/'Base Data'!L79</f>
        <v>0.0748591978363277</v>
      </c>
      <c r="M83" s="8">
        <f>M$47/'Base Data'!M79</f>
        <v>0.10264209558550944</v>
      </c>
      <c r="N83" s="8">
        <f>N$47/'Base Data'!N79</f>
        <v>0.0957354679844427</v>
      </c>
      <c r="O83" s="8">
        <f>O$47/'Base Data'!O79</f>
        <v>0.12396983883158999</v>
      </c>
    </row>
    <row r="84" spans="1:15" ht="12.75">
      <c r="A84" t="str">
        <f t="shared" si="2"/>
        <v>FEMALE65</v>
      </c>
      <c r="B84" s="7">
        <f t="shared" si="3"/>
        <v>65</v>
      </c>
      <c r="C84" s="8">
        <f>C$47/'Base Data'!C80</f>
        <v>0.004012387970321651</v>
      </c>
      <c r="D84" s="8">
        <f>D$47/'Base Data'!D80</f>
        <v>0.01388763492636732</v>
      </c>
      <c r="E84" s="8">
        <f>E$47/'Base Data'!E80</f>
        <v>0.023166957585971676</v>
      </c>
      <c r="F84" s="8">
        <f>F$47/'Base Data'!F80</f>
        <v>0.02299453773925605</v>
      </c>
      <c r="G84" s="8">
        <f>G$47/'Base Data'!G80</f>
        <v>0.02865304361783235</v>
      </c>
      <c r="H84" s="8">
        <f>H$47/'Base Data'!H80</f>
        <v>0.04446864592111072</v>
      </c>
      <c r="I84" s="8">
        <f>I$47/'Base Data'!I80</f>
        <v>0.04907695818787368</v>
      </c>
      <c r="J84" s="8">
        <f>J$47/'Base Data'!J80</f>
        <v>0.059578894306006984</v>
      </c>
      <c r="K84" s="8">
        <f>K$47/'Base Data'!K80</f>
        <v>0.06280784779904498</v>
      </c>
      <c r="L84" s="8">
        <f>L$47/'Base Data'!L80</f>
        <v>0.075802034428795</v>
      </c>
      <c r="M84" s="8">
        <f>M$47/'Base Data'!M80</f>
        <v>0.10393205705705705</v>
      </c>
      <c r="N84" s="8">
        <f>N$47/'Base Data'!N80</f>
        <v>0.09693800656035427</v>
      </c>
      <c r="O84" s="8">
        <f>O$47/'Base Data'!O80</f>
        <v>0.12552338700518945</v>
      </c>
    </row>
    <row r="85" spans="1:15" ht="12.75">
      <c r="A85" t="str">
        <f t="shared" si="2"/>
        <v>FEMALE66</v>
      </c>
      <c r="B85" s="7">
        <f t="shared" si="3"/>
        <v>66</v>
      </c>
      <c r="C85" s="8">
        <f>C$47/'Base Data'!C81</f>
        <v>0.004064178682499294</v>
      </c>
      <c r="D85" s="8">
        <f>D$47/'Base Data'!D81</f>
        <v>0.014066707310877407</v>
      </c>
      <c r="E85" s="8">
        <f>E$47/'Base Data'!E81</f>
        <v>0.02346568104455622</v>
      </c>
      <c r="F85" s="8">
        <f>F$47/'Base Data'!F81</f>
        <v>0.02329103795153178</v>
      </c>
      <c r="G85" s="8">
        <f>G$47/'Base Data'!G81</f>
        <v>0.029022506731697404</v>
      </c>
      <c r="H85" s="8">
        <f>H$47/'Base Data'!H81</f>
        <v>0.04504204135548443</v>
      </c>
      <c r="I85" s="8">
        <f>I$47/'Base Data'!I81</f>
        <v>0.049709774932683026</v>
      </c>
      <c r="J85" s="8">
        <f>J$47/'Base Data'!J81</f>
        <v>0.0603471269623533</v>
      </c>
      <c r="K85" s="8">
        <f>K$47/'Base Data'!K81</f>
        <v>0.0636177157953564</v>
      </c>
      <c r="L85" s="8">
        <f>L$47/'Base Data'!L81</f>
        <v>0.07677945435147081</v>
      </c>
      <c r="M85" s="8">
        <f>M$47/'Base Data'!M81</f>
        <v>0.10526926118563128</v>
      </c>
      <c r="N85" s="8">
        <f>N$47/'Base Data'!N81</f>
        <v>0.09818454389784498</v>
      </c>
      <c r="O85" s="8">
        <f>O$47/'Base Data'!O81</f>
        <v>0.12713353037077044</v>
      </c>
    </row>
    <row r="86" spans="1:15" ht="12.75">
      <c r="A86" t="str">
        <f t="shared" si="2"/>
        <v>FEMALE67</v>
      </c>
      <c r="B86" s="7">
        <f t="shared" si="3"/>
        <v>67</v>
      </c>
      <c r="C86" s="8">
        <f>C$47/'Base Data'!C82</f>
        <v>0.004117323876182144</v>
      </c>
      <c r="D86" s="8">
        <f>D$47/'Base Data'!D82</f>
        <v>0.014250458073415271</v>
      </c>
      <c r="E86" s="8">
        <f>E$47/'Base Data'!E82</f>
        <v>0.023772208840302227</v>
      </c>
      <c r="F86" s="8">
        <f>F$47/'Base Data'!F82</f>
        <v>0.023595284417268853</v>
      </c>
      <c r="G86" s="8">
        <f>G$47/'Base Data'!G82</f>
        <v>0.029401622300454983</v>
      </c>
      <c r="H86" s="8">
        <f>H$47/'Base Data'!H82</f>
        <v>0.04563041710415251</v>
      </c>
      <c r="I86" s="8">
        <f>I$47/'Base Data'!I82</f>
        <v>0.05035912441068083</v>
      </c>
      <c r="J86" s="8">
        <f>J$47/'Base Data'!J82</f>
        <v>0.06113543017725897</v>
      </c>
      <c r="K86" s="8">
        <f>K$47/'Base Data'!K82</f>
        <v>0.0644487420995203</v>
      </c>
      <c r="L86" s="8">
        <f>L$47/'Base Data'!L82</f>
        <v>0.07778240998085356</v>
      </c>
      <c r="M86" s="8">
        <f>M$47/'Base Data'!M82</f>
        <v>0.1066561118044962</v>
      </c>
      <c r="N86" s="8">
        <f>N$47/'Base Data'!N82</f>
        <v>0.09947731702594882</v>
      </c>
      <c r="O86" s="8">
        <f>O$47/'Base Data'!O82</f>
        <v>0.12880313624157674</v>
      </c>
    </row>
    <row r="87" spans="1:15" ht="12.75">
      <c r="A87" t="str">
        <f t="shared" si="2"/>
        <v>FEMALE68</v>
      </c>
      <c r="B87" s="7">
        <f t="shared" si="3"/>
        <v>68</v>
      </c>
      <c r="C87" s="8">
        <f>C$47/'Base Data'!C83</f>
        <v>0.004171877390996925</v>
      </c>
      <c r="D87" s="8">
        <f>D$47/'Base Data'!D83</f>
        <v>0.014441106364779088</v>
      </c>
      <c r="E87" s="8">
        <f>E$47/'Base Data'!E83</f>
        <v>0.024090242897453155</v>
      </c>
      <c r="F87" s="8">
        <f>F$47/'Base Data'!F83</f>
        <v>0.023910951509177113</v>
      </c>
      <c r="G87" s="8">
        <f>G$47/'Base Data'!G83</f>
        <v>0.029794968888054368</v>
      </c>
      <c r="H87" s="8">
        <f>H$47/'Base Data'!H83</f>
        <v>0.04624087895810189</v>
      </c>
      <c r="I87" s="8">
        <f>I$47/'Base Data'!I83</f>
        <v>0.05103284879020691</v>
      </c>
      <c r="J87" s="8">
        <f>J$47/'Base Data'!J83</f>
        <v>0.061953324257929245</v>
      </c>
      <c r="K87" s="8">
        <f>K$47/'Base Data'!K83</f>
        <v>0.06531096298382595</v>
      </c>
      <c r="L87" s="8">
        <f>L$47/'Base Data'!L83</f>
        <v>0.07882301397299285</v>
      </c>
      <c r="M87" s="8">
        <f>M$47/'Base Data'!M83</f>
        <v>0.10807999188058208</v>
      </c>
      <c r="N87" s="8">
        <f>N$47/'Base Data'!N83</f>
        <v>0.10080458766292198</v>
      </c>
      <c r="O87" s="8">
        <f>O$47/'Base Data'!O83</f>
        <v>0.13051717853145633</v>
      </c>
    </row>
    <row r="88" spans="1:15" ht="12.75">
      <c r="A88" t="str">
        <f t="shared" si="2"/>
        <v>FEMALE69</v>
      </c>
      <c r="B88" s="7">
        <f t="shared" si="3"/>
        <v>69</v>
      </c>
      <c r="C88" s="8">
        <f>C$47/'Base Data'!C84</f>
        <v>0.004228506484824175</v>
      </c>
      <c r="D88" s="8">
        <f>D$47/'Base Data'!D84</f>
        <v>0.014636924963787653</v>
      </c>
      <c r="E88" s="8">
        <f>E$47/'Base Data'!E84</f>
        <v>0.024416901914760893</v>
      </c>
      <c r="F88" s="8">
        <f>F$47/'Base Data'!F84</f>
        <v>0.024235179370063756</v>
      </c>
      <c r="G88" s="8">
        <f>G$47/'Base Data'!G84</f>
        <v>0.030198982882397096</v>
      </c>
      <c r="H88" s="8">
        <f>H$47/'Base Data'!H84</f>
        <v>0.04686789630052548</v>
      </c>
      <c r="I88" s="8">
        <f>I$47/'Base Data'!I84</f>
        <v>0.05172484431333989</v>
      </c>
      <c r="J88" s="8">
        <f>J$47/'Base Data'!J84</f>
        <v>0.0627933993085292</v>
      </c>
      <c r="K88" s="8">
        <f>K$47/'Base Data'!K84</f>
        <v>0.0661965669637665</v>
      </c>
      <c r="L88" s="8">
        <f>L$47/'Base Data'!L84</f>
        <v>0.07989183874139626</v>
      </c>
      <c r="M88" s="8">
        <f>M$47/'Base Data'!M84</f>
        <v>0.10955800886356441</v>
      </c>
      <c r="N88" s="8">
        <f>N$47/'Base Data'!N84</f>
        <v>0.10217966907425947</v>
      </c>
      <c r="O88" s="8">
        <f>O$47/'Base Data'!O84</f>
        <v>0.13227745517363387</v>
      </c>
    </row>
    <row r="89" spans="1:15" ht="12.75">
      <c r="A89" t="str">
        <f t="shared" si="2"/>
        <v>FEMALE70</v>
      </c>
      <c r="B89" s="7">
        <f t="shared" si="3"/>
        <v>70</v>
      </c>
      <c r="C89" s="8">
        <f>C$47/'Base Data'!C85</f>
        <v>0.0042866941015089165</v>
      </c>
      <c r="D89" s="8">
        <f>D$47/'Base Data'!D85</f>
        <v>0.01483812708671629</v>
      </c>
      <c r="E89" s="8">
        <f>E$47/'Base Data'!E85</f>
        <v>0.024752541573551556</v>
      </c>
      <c r="F89" s="8">
        <f>F$47/'Base Data'!F85</f>
        <v>0.024568321034100227</v>
      </c>
      <c r="G89" s="8">
        <f>G$47/'Base Data'!G85</f>
        <v>0.03061410419245754</v>
      </c>
      <c r="H89" s="8">
        <f>H$47/'Base Data'!H85</f>
        <v>0.04751215185667508</v>
      </c>
      <c r="I89" s="8">
        <f>I$47/'Base Data'!I85</f>
        <v>0.052435864456556104</v>
      </c>
      <c r="J89" s="8">
        <f>J$47/'Base Data'!J85</f>
        <v>0.06365657004131899</v>
      </c>
      <c r="K89" s="8">
        <f>K$47/'Base Data'!K85</f>
        <v>0.06710651832558936</v>
      </c>
      <c r="L89" s="8">
        <f>L$47/'Base Data'!L85</f>
        <v>0.0809900480715124</v>
      </c>
      <c r="M89" s="8">
        <f>M$47/'Base Data'!M85</f>
        <v>0.11106097071801041</v>
      </c>
      <c r="N89" s="8">
        <f>N$47/'Base Data'!N85</f>
        <v>0.10358321488687512</v>
      </c>
      <c r="O89" s="8">
        <f>O$47/'Base Data'!O85</f>
        <v>0.13410496025152058</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X52"/>
  <sheetViews>
    <sheetView tabSelected="1" zoomScale="80" zoomScaleNormal="80" workbookViewId="0" topLeftCell="A1">
      <selection activeCell="J15" sqref="J15"/>
    </sheetView>
  </sheetViews>
  <sheetFormatPr defaultColWidth="9.140625" defaultRowHeight="12.75"/>
  <cols>
    <col min="1" max="1" width="4.140625" style="0" customWidth="1"/>
    <col min="2" max="2" width="3.7109375" style="0" customWidth="1"/>
    <col min="3" max="3" width="18.28125" style="0" customWidth="1"/>
    <col min="4" max="4" width="5.140625" style="0" customWidth="1"/>
    <col min="5" max="5" width="10.00390625" style="0" customWidth="1"/>
    <col min="6" max="6" width="7.57421875" style="0" customWidth="1"/>
    <col min="7" max="7" width="8.57421875" style="0" customWidth="1"/>
    <col min="8" max="8" width="7.7109375" style="0" customWidth="1"/>
    <col min="10" max="10" width="10.8515625" style="0" customWidth="1"/>
    <col min="11" max="11" width="7.00390625" style="0" customWidth="1"/>
    <col min="12" max="12" width="19.421875" style="0" customWidth="1"/>
    <col min="13" max="13" width="5.140625" style="0" customWidth="1"/>
    <col min="14" max="14" width="10.00390625" style="0" customWidth="1"/>
    <col min="15" max="15" width="7.57421875" style="0" customWidth="1"/>
    <col min="16" max="16" width="8.57421875" style="0" customWidth="1"/>
    <col min="17" max="17" width="7.7109375" style="0" customWidth="1"/>
    <col min="19" max="19" width="10.8515625" style="0" customWidth="1"/>
  </cols>
  <sheetData>
    <row r="1" spans="1:24" ht="13.5" thickBot="1">
      <c r="A1" s="20"/>
      <c r="B1" s="20"/>
      <c r="C1" s="20"/>
      <c r="D1" s="20"/>
      <c r="E1" s="20"/>
      <c r="F1" s="20"/>
      <c r="G1" s="20"/>
      <c r="H1" s="20"/>
      <c r="I1" s="20"/>
      <c r="J1" s="20"/>
      <c r="K1" s="20"/>
      <c r="L1" s="20"/>
      <c r="M1" s="20"/>
      <c r="N1" s="20"/>
      <c r="O1" s="20"/>
      <c r="P1" s="20"/>
      <c r="Q1" s="20"/>
      <c r="R1" s="216"/>
      <c r="S1" s="216"/>
      <c r="T1" s="20"/>
      <c r="U1" s="20"/>
      <c r="V1" s="20"/>
      <c r="W1" s="20"/>
      <c r="X1" s="20"/>
    </row>
    <row r="2" spans="1:24" ht="34.5" customHeight="1" thickBot="1">
      <c r="A2" s="20"/>
      <c r="B2" s="239" t="s">
        <v>140</v>
      </c>
      <c r="C2" s="240"/>
      <c r="D2" s="20"/>
      <c r="E2" s="13"/>
      <c r="F2" s="12"/>
      <c r="G2" s="228" t="s">
        <v>45</v>
      </c>
      <c r="H2" s="229"/>
      <c r="I2" s="229"/>
      <c r="J2" s="229"/>
      <c r="K2" s="229"/>
      <c r="L2" s="229"/>
      <c r="M2" s="229"/>
      <c r="N2" s="229"/>
      <c r="O2" s="11"/>
      <c r="P2" s="13"/>
      <c r="Q2" s="20"/>
      <c r="R2" s="241" t="s">
        <v>251</v>
      </c>
      <c r="S2" s="242"/>
      <c r="T2" s="20"/>
      <c r="U2" s="20"/>
      <c r="V2" s="20"/>
      <c r="W2" s="223">
        <v>2</v>
      </c>
      <c r="X2" s="20">
        <f>W2-1</f>
        <v>1</v>
      </c>
    </row>
    <row r="3" spans="1:24" ht="34.5" customHeight="1">
      <c r="A3" s="20"/>
      <c r="B3" s="20"/>
      <c r="C3" s="20"/>
      <c r="D3" s="20"/>
      <c r="E3" s="20"/>
      <c r="F3" s="137"/>
      <c r="G3" s="138"/>
      <c r="H3" s="139"/>
      <c r="I3" s="139"/>
      <c r="J3" s="139"/>
      <c r="K3" s="139"/>
      <c r="L3" s="139"/>
      <c r="M3" s="139"/>
      <c r="N3" s="139"/>
      <c r="O3" s="20"/>
      <c r="P3" s="20"/>
      <c r="Q3" s="20"/>
      <c r="R3" s="20"/>
      <c r="S3" s="20"/>
      <c r="T3" s="20"/>
      <c r="U3" s="20"/>
      <c r="V3" s="20"/>
      <c r="W3" s="20"/>
      <c r="X3" s="20"/>
    </row>
    <row r="4" spans="1:24" ht="21.75" customHeight="1">
      <c r="A4" s="20"/>
      <c r="B4" s="20"/>
      <c r="C4" s="20"/>
      <c r="D4" s="20"/>
      <c r="E4" s="20"/>
      <c r="F4" s="20"/>
      <c r="G4" s="20"/>
      <c r="H4" s="20"/>
      <c r="I4" s="20"/>
      <c r="J4" s="20"/>
      <c r="K4" s="140"/>
      <c r="L4" s="20"/>
      <c r="M4" s="20"/>
      <c r="N4" s="20"/>
      <c r="O4" s="20"/>
      <c r="P4" s="20"/>
      <c r="Q4" s="20"/>
      <c r="R4" s="20"/>
      <c r="S4" s="20"/>
      <c r="T4" s="20"/>
      <c r="U4" s="20"/>
      <c r="V4" s="20"/>
      <c r="W4" s="20"/>
      <c r="X4" s="20"/>
    </row>
    <row r="5" spans="1:24" ht="12.75" hidden="1">
      <c r="A5" s="20"/>
      <c r="B5" s="20"/>
      <c r="C5" s="20"/>
      <c r="D5" s="20"/>
      <c r="E5" s="20"/>
      <c r="F5" s="20"/>
      <c r="G5" s="20"/>
      <c r="H5" s="20"/>
      <c r="I5" s="20"/>
      <c r="J5" s="20"/>
      <c r="K5" s="140"/>
      <c r="L5" s="20"/>
      <c r="M5" s="20"/>
      <c r="N5" s="20"/>
      <c r="O5" s="20"/>
      <c r="P5" s="20"/>
      <c r="Q5" s="20"/>
      <c r="R5" s="20"/>
      <c r="S5" s="20"/>
      <c r="T5" s="20"/>
      <c r="U5" s="20"/>
      <c r="V5" s="20"/>
      <c r="W5" s="20"/>
      <c r="X5" s="20"/>
    </row>
    <row r="6" spans="1:24" ht="19.5">
      <c r="A6" s="20"/>
      <c r="B6" s="67"/>
      <c r="C6" s="233" t="s">
        <v>5</v>
      </c>
      <c r="D6" s="233"/>
      <c r="E6" s="233"/>
      <c r="F6" s="233"/>
      <c r="G6" s="233"/>
      <c r="H6" s="233"/>
      <c r="I6" s="233"/>
      <c r="J6" s="234"/>
      <c r="K6" s="141"/>
      <c r="L6" s="231" t="s">
        <v>55</v>
      </c>
      <c r="M6" s="231"/>
      <c r="N6" s="231"/>
      <c r="O6" s="231"/>
      <c r="P6" s="231"/>
      <c r="Q6" s="231"/>
      <c r="R6" s="231"/>
      <c r="S6" s="232"/>
      <c r="T6" s="20"/>
      <c r="U6" s="20"/>
      <c r="V6" s="20"/>
      <c r="W6" s="20"/>
      <c r="X6" s="20"/>
    </row>
    <row r="7" spans="1:24" ht="16.5">
      <c r="A7" s="20"/>
      <c r="B7" s="67"/>
      <c r="C7" s="235" t="s">
        <v>109</v>
      </c>
      <c r="D7" s="235"/>
      <c r="E7" s="235"/>
      <c r="F7" s="237" t="s">
        <v>37</v>
      </c>
      <c r="G7" s="237"/>
      <c r="H7" s="237"/>
      <c r="I7" s="237"/>
      <c r="J7" s="238"/>
      <c r="K7" s="141"/>
      <c r="L7" s="236" t="s">
        <v>109</v>
      </c>
      <c r="M7" s="236"/>
      <c r="N7" s="236"/>
      <c r="O7" s="230" t="s">
        <v>37</v>
      </c>
      <c r="P7" s="230"/>
      <c r="Q7" s="230"/>
      <c r="R7" s="230"/>
      <c r="S7" s="230"/>
      <c r="T7" s="20"/>
      <c r="U7" s="20"/>
      <c r="V7" s="20"/>
      <c r="W7" s="20"/>
      <c r="X7" s="20"/>
    </row>
    <row r="8" spans="1:24" ht="16.5">
      <c r="A8" s="20"/>
      <c r="B8" s="67"/>
      <c r="C8" s="100" t="s">
        <v>38</v>
      </c>
      <c r="D8" s="100" t="s">
        <v>4</v>
      </c>
      <c r="E8" s="100" t="s">
        <v>108</v>
      </c>
      <c r="F8" s="100" t="s">
        <v>10</v>
      </c>
      <c r="G8" s="100" t="s">
        <v>11</v>
      </c>
      <c r="H8" s="100" t="s">
        <v>12</v>
      </c>
      <c r="I8" s="100" t="s">
        <v>60</v>
      </c>
      <c r="J8" s="101" t="s">
        <v>110</v>
      </c>
      <c r="K8" s="141"/>
      <c r="L8" s="142" t="s">
        <v>38</v>
      </c>
      <c r="M8" s="142" t="s">
        <v>4</v>
      </c>
      <c r="N8" s="142" t="s">
        <v>108</v>
      </c>
      <c r="O8" s="142" t="s">
        <v>10</v>
      </c>
      <c r="P8" s="142" t="s">
        <v>11</v>
      </c>
      <c r="Q8" s="142" t="s">
        <v>12</v>
      </c>
      <c r="R8" s="142" t="s">
        <v>60</v>
      </c>
      <c r="S8" s="142" t="s">
        <v>110</v>
      </c>
      <c r="T8" s="20"/>
      <c r="U8" s="20"/>
      <c r="V8" s="20"/>
      <c r="W8" s="20"/>
      <c r="X8" s="20"/>
    </row>
    <row r="9" spans="1:24" ht="16.5">
      <c r="A9" s="20"/>
      <c r="B9" s="67">
        <v>1</v>
      </c>
      <c r="C9" s="97" t="str">
        <f>IF($B9&lt;'League Races Male'!$BB$100+1,VLOOKUP(CONCATENATE($C$6,$B9),'League Races Male'!$AQ$8:$BD$86,13,FALSE),"")</f>
        <v>Pete Foale</v>
      </c>
      <c r="D9" s="97">
        <f>IF($B9&lt;'League Races Male'!$BB$100+1,VLOOKUP(CONCATENATE($C$6,$B9),'League Races Male'!$AQ$8:$BD$86,14,FALSE),"")</f>
        <v>55</v>
      </c>
      <c r="E9" s="97" t="str">
        <f>IF($B9&lt;'League Races Male'!$BB$100+1,VLOOKUP(CONCATENATE($C$6,$B9),'League Races Male'!$AQ$8:$BD$86,11,FALSE),"")</f>
        <v>Q</v>
      </c>
      <c r="F9" s="98">
        <f>IF($B9&lt;'League Races Male'!$BB$100+1,VLOOKUP(CONCATENATE($C$6,$B9),'League Races Male'!$AQ$8:$BD$86,6,FALSE),"")</f>
        <v>83.21699156367717</v>
      </c>
      <c r="G9" s="98">
        <f>IF($B9&lt;'League Races Male'!$BB$100+1,VLOOKUP(CONCATENATE($C$6,$B9),'League Races Male'!$AQ$8:$BD$86,7,FALSE),"")</f>
        <v>86.49111098678736</v>
      </c>
      <c r="H9" s="98">
        <f>IF($B9&lt;'League Races Male'!$BB$100+1,VLOOKUP(CONCATENATE($C$6,$B9),'League Races Male'!$AQ$8:$BD$86,8,FALSE),"")</f>
        <v>80.8875602480628</v>
      </c>
      <c r="I9" s="98">
        <f>IF($B9&lt;'League Races Male'!$BB$100+1,VLOOKUP(CONCATENATE($C$6,$B9),'League Races Male'!$AQ$8:$BD$86,9,FALSE),"")</f>
        <v>85.04180047836014</v>
      </c>
      <c r="J9" s="99">
        <f>IF($B9&lt;'League Races Male'!$BB$100+1,VLOOKUP(CONCATENATE($C$6,$B9),'League Races Male'!$AQ$8:$BD$86,10,FALSE),"")</f>
        <v>335.63746327688744</v>
      </c>
      <c r="K9" s="141"/>
      <c r="L9" s="97" t="str">
        <f>IF($B9&lt;'League Races Female'!$BB$100+1,VLOOKUP(CONCATENATE($L$6,$B9),'League Races Female'!$AQ$8:$BD$86,13,FALSE),"")</f>
        <v>Anita Worthing</v>
      </c>
      <c r="M9" s="97">
        <f>IF($B9&lt;'League Races Female'!$BB$100+1,VLOOKUP(CONCATENATE($L$6,$B9),'League Races Female'!$AQ$8:$BD$86,14,FALSE),"")</f>
        <v>52</v>
      </c>
      <c r="N9" s="97" t="str">
        <f>IF($B9&lt;'League Races Female'!$BB$100+1,VLOOKUP(CONCATENATE($L$6,$B9),'League Races Female'!$AQ$8:$BD$86,11,FALSE),"")</f>
        <v>Q</v>
      </c>
      <c r="O9" s="98">
        <f>IF($B9&lt;'League Races Female'!$BB$100+1,VLOOKUP(CONCATENATE($L$6,$B9),'League Races Female'!$AQ$8:$BD$86,6,FALSE),"")</f>
        <v>77.45615116363442</v>
      </c>
      <c r="P9" s="98">
        <f>IF($B9&lt;'League Races Female'!$BB$100+1,VLOOKUP(CONCATENATE($L$6,$B9),'League Races Female'!$AQ$8:$BD$86,7,FALSE),"")</f>
        <v>81.16151140770131</v>
      </c>
      <c r="Q9" s="98">
        <f>IF($B9&lt;'League Races Female'!$BB$100+1,VLOOKUP(CONCATENATE($L$6,$B9),'League Races Female'!$AQ$8:$BD$86,8,FALSE),"")</f>
        <v>79.51851046667791</v>
      </c>
      <c r="R9" s="98">
        <f>IF($B9&lt;'League Races Female'!$BB$100+1,VLOOKUP(CONCATENATE($L$6,$B9),'League Races Female'!$AQ$8:$BD$86,9,FALSE),"")</f>
        <v>77.28325796907275</v>
      </c>
      <c r="S9" s="102">
        <f>IF($B9&lt;'League Races Female'!$BB$100+1,VLOOKUP(CONCATENATE($L$6,$B9),'League Races Female'!$AQ$8:$BD$86,10,FALSE),"")</f>
        <v>315.41943100708636</v>
      </c>
      <c r="T9" s="20"/>
      <c r="U9" s="20"/>
      <c r="V9" s="20"/>
      <c r="W9" s="20"/>
      <c r="X9" s="20"/>
    </row>
    <row r="10" spans="1:24" ht="16.5">
      <c r="A10" s="20"/>
      <c r="B10" s="67">
        <f>B9+1</f>
        <v>2</v>
      </c>
      <c r="C10" s="97" t="str">
        <f>IF($B10&lt;'League Races Male'!$BB$100+1,VLOOKUP(CONCATENATE($C$6,$B10),'League Races Male'!$AQ$8:$BD$86,13,FALSE),"")</f>
        <v>John Evans</v>
      </c>
      <c r="D10" s="97">
        <f>IF($B10&lt;'League Races Male'!$BB$100+1,VLOOKUP(CONCATENATE($C$6,$B10),'League Races Male'!$AQ$8:$BD$86,14,FALSE),"")</f>
        <v>61</v>
      </c>
      <c r="E10" s="97" t="str">
        <f>IF($B10&lt;'League Races Male'!$BB$100+1,VLOOKUP(CONCATENATE($C$6,$B10),'League Races Male'!$AQ$8:$BD$86,11,FALSE),"")</f>
        <v>Q</v>
      </c>
      <c r="F10" s="98">
        <f>IF($B10&lt;'League Races Male'!$BB$100+1,VLOOKUP(CONCATENATE($C$6,$B10),'League Races Male'!$AQ$8:$BD$86,6,FALSE),"")</f>
        <v>82.21118756012814</v>
      </c>
      <c r="G10" s="98">
        <f>IF($B10&lt;'League Races Male'!$BB$100+1,VLOOKUP(CONCATENATE($C$6,$B10),'League Races Male'!$AQ$8:$BD$86,7,FALSE),"")</f>
        <v>87.66704268434373</v>
      </c>
      <c r="H10" s="98">
        <f>IF($B10&lt;'League Races Male'!$BB$100+1,VLOOKUP(CONCATENATE($C$6,$B10),'League Races Male'!$AQ$8:$BD$86,8,FALSE),"")</f>
        <v>80.50325907696376</v>
      </c>
      <c r="I10" s="98">
        <f>IF($B10&lt;'League Races Male'!$BB$100+1,VLOOKUP(CONCATENATE($C$6,$B10),'League Races Male'!$AQ$8:$BD$86,9,FALSE),"")</f>
        <v>84.72997424923372</v>
      </c>
      <c r="J10" s="99">
        <f>IF($B10&lt;'League Races Male'!$BB$100+1,VLOOKUP(CONCATENATE($C$6,$B10),'League Races Male'!$AQ$8:$BD$86,10,FALSE),"")</f>
        <v>335.11146357066934</v>
      </c>
      <c r="K10" s="141"/>
      <c r="L10" s="97" t="str">
        <f>IF($B10&lt;'League Races Female'!$BB$100+1,VLOOKUP(CONCATENATE($L$6,$B10),'League Races Female'!$AQ$8:$BD$86,13,FALSE),"")</f>
        <v>Louise Barker</v>
      </c>
      <c r="M10" s="97">
        <f>IF($B10&lt;'League Races Female'!$BB$100+1,VLOOKUP(CONCATENATE($L$6,$B10),'League Races Female'!$AQ$8:$BD$86,14,FALSE),"")</f>
        <v>32</v>
      </c>
      <c r="N10" s="97" t="str">
        <f>IF($B10&lt;'League Races Female'!$BB$100+1,VLOOKUP(CONCATENATE($L$6,$B10),'League Races Female'!$AQ$8:$BD$86,11,FALSE),"")</f>
        <v>Q</v>
      </c>
      <c r="O10" s="98">
        <f>IF($B10&lt;'League Races Female'!$BB$100+1,VLOOKUP(CONCATENATE($L$6,$B10),'League Races Female'!$AQ$8:$BD$86,6,FALSE),"")</f>
        <v>74.96689526210912</v>
      </c>
      <c r="P10" s="98">
        <f>IF($B10&lt;'League Races Female'!$BB$100+1,VLOOKUP(CONCATENATE($L$6,$B10),'League Races Female'!$AQ$8:$BD$86,7,FALSE),"")</f>
        <v>77.29632523680232</v>
      </c>
      <c r="Q10" s="98">
        <f>IF($B10&lt;'League Races Female'!$BB$100+1,VLOOKUP(CONCATENATE($L$6,$B10),'League Races Female'!$AQ$8:$BD$86,8,FALSE),"")</f>
        <v>76.0101816257342</v>
      </c>
      <c r="R10" s="98">
        <f>IF($B10&lt;'League Races Female'!$BB$100+1,VLOOKUP(CONCATENATE($L$6,$B10),'League Races Female'!$AQ$8:$BD$86,9,FALSE),"")</f>
        <v>73.97641605137937</v>
      </c>
      <c r="S10" s="102">
        <f>IF($B10&lt;'League Races Female'!$BB$100+1,VLOOKUP(CONCATENATE($L$6,$B10),'League Races Female'!$AQ$8:$BD$86,10,FALSE),"")</f>
        <v>302.24981817602503</v>
      </c>
      <c r="T10" s="20"/>
      <c r="U10" s="20"/>
      <c r="V10" s="20"/>
      <c r="W10" s="20"/>
      <c r="X10" s="20"/>
    </row>
    <row r="11" spans="1:24" ht="16.5">
      <c r="A11" s="20"/>
      <c r="B11" s="67">
        <f aca="true" t="shared" si="0" ref="B11:B33">B10+1</f>
        <v>3</v>
      </c>
      <c r="C11" s="97" t="str">
        <f>IF($B11&lt;'League Races Male'!$BB$100+1,VLOOKUP(CONCATENATE($C$6,$B11),'League Races Male'!$AQ$8:$BD$86,13,FALSE),"")</f>
        <v>Clive Evans</v>
      </c>
      <c r="D11" s="97">
        <f>IF($B11&lt;'League Races Male'!$BB$100+1,VLOOKUP(CONCATENATE($C$6,$B11),'League Races Male'!$AQ$8:$BD$86,14,FALSE),"")</f>
        <v>60</v>
      </c>
      <c r="E11" s="97" t="str">
        <f>IF($B11&lt;'League Races Male'!$BB$100+1,VLOOKUP(CONCATENATE($C$6,$B11),'League Races Male'!$AQ$8:$BD$86,11,FALSE),"")</f>
        <v>Q</v>
      </c>
      <c r="F11" s="98">
        <f>IF($B11&lt;'League Races Male'!$BB$100+1,VLOOKUP(CONCATENATE($C$6,$B11),'League Races Male'!$AQ$8:$BD$86,6,FALSE),"")</f>
        <v>81.85359407678392</v>
      </c>
      <c r="G11" s="98">
        <f>IF($B11&lt;'League Races Male'!$BB$100+1,VLOOKUP(CONCATENATE($C$6,$B11),'League Races Male'!$AQ$8:$BD$86,7,FALSE),"")</f>
        <v>85.11861291528814</v>
      </c>
      <c r="H11" s="98">
        <f>IF($B11&lt;'League Races Male'!$BB$100+1,VLOOKUP(CONCATENATE($C$6,$B11),'League Races Male'!$AQ$8:$BD$86,8,FALSE),"")</f>
        <v>80.73159990957699</v>
      </c>
      <c r="I11" s="98">
        <f>IF($B11&lt;'League Races Male'!$BB$100+1,VLOOKUP(CONCATENATE($C$6,$B11),'League Races Male'!$AQ$8:$BD$86,9,FALSE),"")</f>
        <v>82.44272837753208</v>
      </c>
      <c r="J11" s="99">
        <f>IF($B11&lt;'League Races Male'!$BB$100+1,VLOOKUP(CONCATENATE($C$6,$B11),'League Races Male'!$AQ$8:$BD$86,10,FALSE),"")</f>
        <v>330.14653527918114</v>
      </c>
      <c r="K11" s="141"/>
      <c r="L11" s="97" t="str">
        <f>IF($B11&lt;'League Races Female'!$BB$100+1,VLOOKUP(CONCATENATE($L$6,$B11),'League Races Female'!$AQ$8:$BD$86,13,FALSE),"")</f>
        <v>Glenda Roberts</v>
      </c>
      <c r="M11" s="97">
        <f>IF($B11&lt;'League Races Female'!$BB$100+1,VLOOKUP(CONCATENATE($L$6,$B11),'League Races Female'!$AQ$8:$BD$86,14,FALSE),"")</f>
        <v>54</v>
      </c>
      <c r="N11" s="97" t="str">
        <f>IF($B11&lt;'League Races Female'!$BB$100+1,VLOOKUP(CONCATENATE($L$6,$B11),'League Races Female'!$AQ$8:$BD$86,11,FALSE),"")</f>
        <v>Q</v>
      </c>
      <c r="O11" s="98">
        <f>IF($B11&lt;'League Races Female'!$BB$100+1,VLOOKUP(CONCATENATE($L$6,$B11),'League Races Female'!$AQ$8:$BD$86,6,FALSE),"")</f>
        <v>76.4934174219888</v>
      </c>
      <c r="P11" s="98">
        <f>IF($B11&lt;'League Races Female'!$BB$100+1,VLOOKUP(CONCATENATE($L$6,$B11),'League Races Female'!$AQ$8:$BD$86,7,FALSE),"")</f>
        <v>74.72635661960037</v>
      </c>
      <c r="Q11" s="98">
        <f>IF($B11&lt;'League Races Female'!$BB$100+1,VLOOKUP(CONCATENATE($L$6,$B11),'League Races Female'!$AQ$8:$BD$86,8,FALSE),"")</f>
        <v>70.20392602359847</v>
      </c>
      <c r="R11" s="98">
        <f>IF($B11&lt;'League Races Female'!$BB$100+1,VLOOKUP(CONCATENATE($L$6,$B11),'League Races Female'!$AQ$8:$BD$86,9,FALSE),"")</f>
        <v>73.66011930476023</v>
      </c>
      <c r="S11" s="102">
        <f>IF($B11&lt;'League Races Female'!$BB$100+1,VLOOKUP(CONCATENATE($L$6,$B11),'League Races Female'!$AQ$8:$BD$86,10,FALSE),"")</f>
        <v>295.08381936994783</v>
      </c>
      <c r="T11" s="20"/>
      <c r="U11" s="20"/>
      <c r="V11" s="20"/>
      <c r="W11" s="20"/>
      <c r="X11" s="20"/>
    </row>
    <row r="12" spans="1:24" ht="16.5">
      <c r="A12" s="20"/>
      <c r="B12" s="67">
        <f t="shared" si="0"/>
        <v>4</v>
      </c>
      <c r="C12" s="97" t="str">
        <f>IF($B12&lt;'League Races Male'!$BB$100+1,VLOOKUP(CONCATENATE($C$6,$B12),'League Races Male'!$AQ$8:$BD$86,13,FALSE),"")</f>
        <v>Dave Powell</v>
      </c>
      <c r="D12" s="97">
        <f>IF($B12&lt;'League Races Male'!$BB$100+1,VLOOKUP(CONCATENATE($C$6,$B12),'League Races Male'!$AQ$8:$BD$86,14,FALSE),"")</f>
        <v>47</v>
      </c>
      <c r="E12" s="97" t="str">
        <f>IF($B12&lt;'League Races Male'!$BB$100+1,VLOOKUP(CONCATENATE($C$6,$B12),'League Races Male'!$AQ$8:$BD$86,11,FALSE),"")</f>
        <v>Q</v>
      </c>
      <c r="F12" s="98">
        <f>IF($B12&lt;'League Races Male'!$BB$100+1,VLOOKUP(CONCATENATE($C$6,$B12),'League Races Male'!$AQ$8:$BD$86,6,FALSE),"")</f>
        <v>76.92117800982497</v>
      </c>
      <c r="G12" s="98">
        <f>IF($B12&lt;'League Races Male'!$BB$100+1,VLOOKUP(CONCATENATE($C$6,$B12),'League Races Male'!$AQ$8:$BD$86,7,FALSE),"")</f>
        <v>74.14815180978528</v>
      </c>
      <c r="H12" s="98">
        <f>IF($B12&lt;'League Races Male'!$BB$100+1,VLOOKUP(CONCATENATE($C$6,$B12),'League Races Male'!$AQ$8:$BD$86,8,FALSE),"")</f>
        <v>76.59866841410394</v>
      </c>
      <c r="I12" s="98">
        <f>IF($B12&lt;'League Races Male'!$BB$100+1,VLOOKUP(CONCATENATE($C$6,$B12),'League Races Male'!$AQ$8:$BD$86,9,FALSE),"")</f>
        <v>75.97798121598424</v>
      </c>
      <c r="J12" s="99">
        <f>IF($B12&lt;'League Races Male'!$BB$100+1,VLOOKUP(CONCATENATE($C$6,$B12),'League Races Male'!$AQ$8:$BD$86,10,FALSE),"")</f>
        <v>303.6459794496984</v>
      </c>
      <c r="K12" s="141"/>
      <c r="L12" s="97" t="str">
        <f>IF($B12&lt;'League Races Female'!$BB$100+1,VLOOKUP(CONCATENATE($L$6,$B12),'League Races Female'!$AQ$8:$BD$86,13,FALSE),"")</f>
        <v>Kate O'Sullivan</v>
      </c>
      <c r="M12" s="97">
        <f>IF($B12&lt;'League Races Female'!$BB$100+1,VLOOKUP(CONCATENATE($L$6,$B12),'League Races Female'!$AQ$8:$BD$86,14,FALSE),"")</f>
        <v>43</v>
      </c>
      <c r="N12" s="97" t="str">
        <f>IF($B12&lt;'League Races Female'!$BB$100+1,VLOOKUP(CONCATENATE($L$6,$B12),'League Races Female'!$AQ$8:$BD$86,11,FALSE),"")</f>
        <v>Q</v>
      </c>
      <c r="O12" s="98">
        <f>IF($B12&lt;'League Races Female'!$BB$100+1,VLOOKUP(CONCATENATE($L$6,$B12),'League Races Female'!$AQ$8:$BD$86,6,FALSE),"")</f>
        <v>74.23311577835769</v>
      </c>
      <c r="P12" s="98">
        <f>IF($B12&lt;'League Races Female'!$BB$100+1,VLOOKUP(CONCATENATE($L$6,$B12),'League Races Female'!$AQ$8:$BD$86,7,FALSE),"")</f>
        <v>68.80482555191408</v>
      </c>
      <c r="Q12" s="98">
        <f>IF($B12&lt;'League Races Female'!$BB$100+1,VLOOKUP(CONCATENATE($L$6,$B12),'League Races Female'!$AQ$8:$BD$86,8,FALSE),"")</f>
        <v>69.57277006163032</v>
      </c>
      <c r="R12" s="98">
        <f>IF($B12&lt;'League Races Female'!$BB$100+1,VLOOKUP(CONCATENATE($L$6,$B12),'League Races Female'!$AQ$8:$BD$86,9,FALSE),"")</f>
        <v>73.61073447228912</v>
      </c>
      <c r="S12" s="102">
        <f>IF($B12&lt;'League Races Female'!$BB$100+1,VLOOKUP(CONCATENATE($L$6,$B12),'League Races Female'!$AQ$8:$BD$86,10,FALSE),"")</f>
        <v>286.2214458641912</v>
      </c>
      <c r="T12" s="20"/>
      <c r="U12" s="20"/>
      <c r="V12" s="20"/>
      <c r="W12" s="20"/>
      <c r="X12" s="20"/>
    </row>
    <row r="13" spans="1:24" ht="16.5">
      <c r="A13" s="20"/>
      <c r="B13" s="67">
        <f t="shared" si="0"/>
        <v>5</v>
      </c>
      <c r="C13" s="97" t="str">
        <f>IF($B13&lt;'League Races Male'!$BB$100+1,VLOOKUP(CONCATENATE($C$6,$B13),'League Races Male'!$AQ$8:$BD$86,13,FALSE),"")</f>
        <v>Cliff Thomas</v>
      </c>
      <c r="D13" s="97">
        <f>IF($B13&lt;'League Races Male'!$BB$100+1,VLOOKUP(CONCATENATE($C$6,$B13),'League Races Male'!$AQ$8:$BD$86,14,FALSE),"")</f>
        <v>62</v>
      </c>
      <c r="E13" s="97" t="str">
        <f>IF($B13&lt;'League Races Male'!$BB$100+1,VLOOKUP(CONCATENATE($C$6,$B13),'League Races Male'!$AQ$8:$BD$86,11,FALSE),"")</f>
        <v>Q</v>
      </c>
      <c r="F13" s="98">
        <f>IF($B13&lt;'League Races Male'!$BB$100+1,VLOOKUP(CONCATENATE($C$6,$B13),'League Races Male'!$AQ$8:$BD$86,6,FALSE),"")</f>
        <v>74.10726431939754</v>
      </c>
      <c r="G13" s="98">
        <f>IF($B13&lt;'League Races Male'!$BB$100+1,VLOOKUP(CONCATENATE($C$6,$B13),'League Races Male'!$AQ$8:$BD$86,7,FALSE),"")</f>
        <v>80.12177544545112</v>
      </c>
      <c r="H13" s="98">
        <f>IF($B13&lt;'League Races Male'!$BB$100+1,VLOOKUP(CONCATENATE($C$6,$B13),'League Races Male'!$AQ$8:$BD$86,8,FALSE),"")</f>
        <v>72.2138347130173</v>
      </c>
      <c r="I13" s="98">
        <f>IF($B13&lt;'League Races Male'!$BB$100+1,VLOOKUP(CONCATENATE($C$6,$B13),'League Races Male'!$AQ$8:$BD$86,9,FALSE),"")</f>
        <v>75.39920842799279</v>
      </c>
      <c r="J13" s="99">
        <f>IF($B13&lt;'League Races Male'!$BB$100+1,VLOOKUP(CONCATENATE($C$6,$B13),'League Races Male'!$AQ$8:$BD$86,10,FALSE),"")</f>
        <v>301.8420829058588</v>
      </c>
      <c r="K13" s="141"/>
      <c r="L13" s="97" t="str">
        <f>IF($B13&lt;'League Races Female'!$BB$100+1,VLOOKUP(CONCATENATE($L$6,$B13),'League Races Female'!$AQ$8:$BD$86,13,FALSE),"")</f>
        <v>Helen Williams</v>
      </c>
      <c r="M13" s="97">
        <f>IF($B13&lt;'League Races Female'!$BB$100+1,VLOOKUP(CONCATENATE($L$6,$B13),'League Races Female'!$AQ$8:$BD$86,14,FALSE),"")</f>
        <v>46</v>
      </c>
      <c r="N13" s="97" t="str">
        <f>IF($B13&lt;'League Races Female'!$BB$100+1,VLOOKUP(CONCATENATE($L$6,$B13),'League Races Female'!$AQ$8:$BD$86,11,FALSE),"")</f>
        <v>Q</v>
      </c>
      <c r="O13" s="98">
        <f>IF($B13&lt;'League Races Female'!$BB$100+1,VLOOKUP(CONCATENATE($L$6,$B13),'League Races Female'!$AQ$8:$BD$86,6,FALSE),"")</f>
        <v>70.3015587744042</v>
      </c>
      <c r="P13" s="98">
        <f>IF($B13&lt;'League Races Female'!$BB$100+1,VLOOKUP(CONCATENATE($L$6,$B13),'League Races Female'!$AQ$8:$BD$86,7,FALSE),"")</f>
        <v>69.67193589267168</v>
      </c>
      <c r="Q13" s="98">
        <f>IF($B13&lt;'League Races Female'!$BB$100+1,VLOOKUP(CONCATENATE($L$6,$B13),'League Races Female'!$AQ$8:$BD$86,8,FALSE),"")</f>
        <v>69.10560223292097</v>
      </c>
      <c r="R13" s="98">
        <f>IF($B13&lt;'League Races Female'!$BB$100+1,VLOOKUP(CONCATENATE($L$6,$B13),'League Races Female'!$AQ$8:$BD$86,9,FALSE),"")</f>
        <v>66.96316290732095</v>
      </c>
      <c r="S13" s="102">
        <f>IF($B13&lt;'League Races Female'!$BB$100+1,VLOOKUP(CONCATENATE($L$6,$B13),'League Races Female'!$AQ$8:$BD$86,10,FALSE),"")</f>
        <v>276.0422598073178</v>
      </c>
      <c r="T13" s="20"/>
      <c r="U13" s="20"/>
      <c r="V13" s="20"/>
      <c r="W13" s="20"/>
      <c r="X13" s="20"/>
    </row>
    <row r="14" spans="1:24" ht="16.5">
      <c r="A14" s="20"/>
      <c r="B14" s="67">
        <f t="shared" si="0"/>
        <v>6</v>
      </c>
      <c r="C14" s="97" t="str">
        <f>IF($B14&lt;'League Races Male'!$BB$100+1,VLOOKUP(CONCATENATE($C$6,$B14),'League Races Male'!$AQ$8:$BD$86,13,FALSE),"")</f>
        <v>Kevin Holland</v>
      </c>
      <c r="D14" s="97">
        <f>IF($B14&lt;'League Races Male'!$BB$100+1,VLOOKUP(CONCATENATE($C$6,$B14),'League Races Male'!$AQ$8:$BD$86,14,FALSE),"")</f>
        <v>49</v>
      </c>
      <c r="E14" s="97" t="str">
        <f>IF($B14&lt;'League Races Male'!$BB$100+1,VLOOKUP(CONCATENATE($C$6,$B14),'League Races Male'!$AQ$8:$BD$86,11,FALSE),"")</f>
        <v>Q</v>
      </c>
      <c r="F14" s="98">
        <f>IF($B14&lt;'League Races Male'!$BB$100+1,VLOOKUP(CONCATENATE($C$6,$B14),'League Races Male'!$AQ$8:$BD$86,6,FALSE),"")</f>
        <v>72.86666242624473</v>
      </c>
      <c r="G14" s="98">
        <f>IF($B14&lt;'League Races Male'!$BB$100+1,VLOOKUP(CONCATENATE($C$6,$B14),'League Races Male'!$AQ$8:$BD$86,7,FALSE),"")</f>
        <v>75.29396396412741</v>
      </c>
      <c r="H14" s="98">
        <f>IF($B14&lt;'League Races Male'!$BB$100+1,VLOOKUP(CONCATENATE($C$6,$B14),'League Races Male'!$AQ$8:$BD$86,8,FALSE),"")</f>
        <v>70.41160875617884</v>
      </c>
      <c r="I14" s="98">
        <f>IF($B14&lt;'League Races Male'!$BB$100+1,VLOOKUP(CONCATENATE($C$6,$B14),'League Races Male'!$AQ$8:$BD$86,9,FALSE),"")</f>
        <v>72.62558165725798</v>
      </c>
      <c r="J14" s="99">
        <f>IF($B14&lt;'League Races Male'!$BB$100+1,VLOOKUP(CONCATENATE($C$6,$B14),'League Races Male'!$AQ$8:$BD$86,10,FALSE),"")</f>
        <v>291.197816803809</v>
      </c>
      <c r="K14" s="141"/>
      <c r="L14" s="97" t="str">
        <f>IF($B14&lt;'League Races Female'!$BB$100+1,VLOOKUP(CONCATENATE($L$6,$B14),'League Races Female'!$AQ$8:$BD$86,13,FALSE),"")</f>
        <v>Anwen James</v>
      </c>
      <c r="M14" s="97">
        <f>IF($B14&lt;'League Races Female'!$BB$100+1,VLOOKUP(CONCATENATE($L$6,$B14),'League Races Female'!$AQ$8:$BD$86,14,FALSE),"")</f>
        <v>42</v>
      </c>
      <c r="N14" s="97" t="str">
        <f>IF($B14&lt;'League Races Female'!$BB$100+1,VLOOKUP(CONCATENATE($L$6,$B14),'League Races Female'!$AQ$8:$BD$86,11,FALSE),"")</f>
        <v>Q</v>
      </c>
      <c r="O14" s="98">
        <f>IF($B14&lt;'League Races Female'!$BB$100+1,VLOOKUP(CONCATENATE($L$6,$B14),'League Races Female'!$AQ$8:$BD$86,6,FALSE),"")</f>
        <v>68.53257296727244</v>
      </c>
      <c r="P14" s="98">
        <f>IF($B14&lt;'League Races Female'!$BB$100+1,VLOOKUP(CONCATENATE($L$6,$B14),'League Races Female'!$AQ$8:$BD$86,7,FALSE),"")</f>
        <v>66.40284974295595</v>
      </c>
      <c r="Q14" s="98">
        <f>IF($B14&lt;'League Races Female'!$BB$100+1,VLOOKUP(CONCATENATE($L$6,$B14),'League Races Female'!$AQ$8:$BD$86,8,FALSE),"")</f>
        <v>69.2167814992452</v>
      </c>
      <c r="R14" s="98">
        <f>IF($B14&lt;'League Races Female'!$BB$100+1,VLOOKUP(CONCATENATE($L$6,$B14),'League Races Female'!$AQ$8:$BD$86,9,FALSE),"")</f>
        <v>67.70979490198738</v>
      </c>
      <c r="S14" s="102">
        <f>IF($B14&lt;'League Races Female'!$BB$100+1,VLOOKUP(CONCATENATE($L$6,$B14),'League Races Female'!$AQ$8:$BD$86,10,FALSE),"")</f>
        <v>271.861999111461</v>
      </c>
      <c r="T14" s="20"/>
      <c r="U14" s="20"/>
      <c r="V14" s="20"/>
      <c r="W14" s="20"/>
      <c r="X14" s="20"/>
    </row>
    <row r="15" spans="1:24" ht="16.5">
      <c r="A15" s="20"/>
      <c r="B15" s="67">
        <f t="shared" si="0"/>
        <v>7</v>
      </c>
      <c r="C15" s="97" t="str">
        <f>IF($B15&lt;'League Races Male'!$BB$100+1,VLOOKUP(CONCATENATE($C$6,$B15),'League Races Male'!$AQ$8:$BD$86,13,FALSE),"")</f>
        <v>Tony Wenlock</v>
      </c>
      <c r="D15" s="97">
        <f>IF($B15&lt;'League Races Male'!$BB$100+1,VLOOKUP(CONCATENATE($C$6,$B15),'League Races Male'!$AQ$8:$BD$86,14,FALSE),"")</f>
        <v>53</v>
      </c>
      <c r="E15" s="97" t="str">
        <f>IF($B15&lt;'League Races Male'!$BB$100+1,VLOOKUP(CONCATENATE($C$6,$B15),'League Races Male'!$AQ$8:$BD$86,11,FALSE),"")</f>
        <v>Q</v>
      </c>
      <c r="F15" s="98">
        <f>IF($B15&lt;'League Races Male'!$BB$100+1,VLOOKUP(CONCATENATE($C$6,$B15),'League Races Male'!$AQ$8:$BD$86,6,FALSE),"")</f>
        <v>71.28639083317411</v>
      </c>
      <c r="G15" s="98">
        <f>IF($B15&lt;'League Races Male'!$BB$100+1,VLOOKUP(CONCATENATE($C$6,$B15),'League Races Male'!$AQ$8:$BD$86,7,FALSE),"")</f>
        <v>74.96623414687126</v>
      </c>
      <c r="H15" s="98">
        <f>IF($B15&lt;'League Races Male'!$BB$100+1,VLOOKUP(CONCATENATE($C$6,$B15),'League Races Male'!$AQ$8:$BD$86,8,FALSE),"")</f>
        <v>69.88775224225174</v>
      </c>
      <c r="I15" s="98">
        <f>IF($B15&lt;'League Races Male'!$BB$100+1,VLOOKUP(CONCATENATE($C$6,$B15),'League Races Male'!$AQ$8:$BD$86,9,FALSE),"")</f>
        <v>71.27650431825523</v>
      </c>
      <c r="J15" s="99">
        <f>IF($B15&lt;'League Races Male'!$BB$100+1,VLOOKUP(CONCATENATE($C$6,$B15),'League Races Male'!$AQ$8:$BD$86,10,FALSE),"")</f>
        <v>287.41688154055237</v>
      </c>
      <c r="K15" s="141"/>
      <c r="L15" s="97" t="str">
        <f>IF($B15&lt;'League Races Female'!$BB$100+1,VLOOKUP(CONCATENATE($L$6,$B15),'League Races Female'!$AQ$8:$BD$86,13,FALSE),"")</f>
        <v>Bridget Parkinson</v>
      </c>
      <c r="M15" s="97">
        <f>IF($B15&lt;'League Races Female'!$BB$100+1,VLOOKUP(CONCATENATE($L$6,$B15),'League Races Female'!$AQ$8:$BD$86,14,FALSE),"")</f>
        <v>30</v>
      </c>
      <c r="N15" s="97" t="str">
        <f>IF($B15&lt;'League Races Female'!$BB$100+1,VLOOKUP(CONCATENATE($L$6,$B15),'League Races Female'!$AQ$8:$BD$86,11,FALSE),"")</f>
        <v>Q</v>
      </c>
      <c r="O15" s="98">
        <f>IF($B15&lt;'League Races Female'!$BB$100+1,VLOOKUP(CONCATENATE($L$6,$B15),'League Races Female'!$AQ$8:$BD$86,6,FALSE),"")</f>
        <v>62.8368794326241</v>
      </c>
      <c r="P15" s="98">
        <f>IF($B15&lt;'League Races Female'!$BB$100+1,VLOOKUP(CONCATENATE($L$6,$B15),'League Races Female'!$AQ$8:$BD$86,7,FALSE),"")</f>
        <v>65.75539568345323</v>
      </c>
      <c r="Q15" s="98">
        <f>IF($B15&lt;'League Races Female'!$BB$100+1,VLOOKUP(CONCATENATE($L$6,$B15),'League Races Female'!$AQ$8:$BD$86,8,FALSE),"")</f>
        <v>56.297571583907214</v>
      </c>
      <c r="R15" s="98">
        <f>IF($B15&lt;'League Races Female'!$BB$100+1,VLOOKUP(CONCATENATE($L$6,$B15),'League Races Female'!$AQ$8:$BD$86,9,FALSE),"")</f>
        <v>64.1072891072891</v>
      </c>
      <c r="S15" s="102">
        <f>IF($B15&lt;'League Races Female'!$BB$100+1,VLOOKUP(CONCATENATE($L$6,$B15),'League Races Female'!$AQ$8:$BD$86,10,FALSE),"")</f>
        <v>248.99713580727365</v>
      </c>
      <c r="T15" s="20"/>
      <c r="U15" s="20"/>
      <c r="V15" s="20"/>
      <c r="W15" s="20"/>
      <c r="X15" s="20"/>
    </row>
    <row r="16" spans="1:24" ht="16.5">
      <c r="A16" s="20"/>
      <c r="B16" s="67">
        <f t="shared" si="0"/>
        <v>8</v>
      </c>
      <c r="C16" s="97" t="str">
        <f>IF($B16&lt;'League Races Male'!$BB$100+1,VLOOKUP(CONCATENATE($C$6,$B16),'League Races Male'!$AQ$8:$BD$86,13,FALSE),"")</f>
        <v>Shelley Childs</v>
      </c>
      <c r="D16" s="97">
        <f>IF($B16&lt;'League Races Male'!$BB$100+1,VLOOKUP(CONCATENATE($C$6,$B16),'League Races Male'!$AQ$8:$BD$86,14,FALSE),"")</f>
        <v>34</v>
      </c>
      <c r="E16" s="97" t="str">
        <f>IF($B16&lt;'League Races Male'!$BB$100+1,VLOOKUP(CONCATENATE($C$6,$B16),'League Races Male'!$AQ$8:$BD$86,11,FALSE),"")</f>
        <v>Q</v>
      </c>
      <c r="F16" s="98">
        <f>IF($B16&lt;'League Races Male'!$BB$100+1,VLOOKUP(CONCATENATE($C$6,$B16),'League Races Male'!$AQ$8:$BD$86,6,FALSE),"")</f>
        <v>70.62100796394647</v>
      </c>
      <c r="G16" s="98">
        <f>IF($B16&lt;'League Races Male'!$BB$100+1,VLOOKUP(CONCATENATE($C$6,$B16),'League Races Male'!$AQ$8:$BD$86,7,FALSE),"")</f>
        <v>75.15285371740366</v>
      </c>
      <c r="H16" s="98">
        <f>IF($B16&lt;'League Races Male'!$BB$100+1,VLOOKUP(CONCATENATE($C$6,$B16),'League Races Male'!$AQ$8:$BD$86,8,FALSE),"")</f>
        <v>65.7702783420893</v>
      </c>
      <c r="I16" s="98">
        <f>IF($B16&lt;'League Races Male'!$BB$100+1,VLOOKUP(CONCATENATE($C$6,$B16),'League Races Male'!$AQ$8:$BD$86,9,FALSE),"")</f>
        <v>70.08443077365423</v>
      </c>
      <c r="J16" s="99">
        <f>IF($B16&lt;'League Races Male'!$BB$100+1,VLOOKUP(CONCATENATE($C$6,$B16),'League Races Male'!$AQ$8:$BD$86,10,FALSE),"")</f>
        <v>281.62857079709363</v>
      </c>
      <c r="K16" s="141"/>
      <c r="L16" s="97" t="str">
        <f>IF($B16&lt;'League Races Female'!$BB$100+1,VLOOKUP(CONCATENATE($L$6,$B16),'League Races Female'!$AQ$8:$BD$86,13,FALSE),"")</f>
        <v>Carys Prytherch</v>
      </c>
      <c r="M16" s="97">
        <f>IF($B16&lt;'League Races Female'!$BB$100+1,VLOOKUP(CONCATENATE($L$6,$B16),'League Races Female'!$AQ$8:$BD$86,14,FALSE),"")</f>
        <v>39</v>
      </c>
      <c r="N16" s="97" t="str">
        <f>IF($B16&lt;'League Races Female'!$BB$100+1,VLOOKUP(CONCATENATE($L$6,$B16),'League Races Female'!$AQ$8:$BD$86,11,FALSE),"")</f>
        <v>Q</v>
      </c>
      <c r="O16" s="98">
        <f>IF($B16&lt;'League Races Female'!$BB$100+1,VLOOKUP(CONCATENATE($L$6,$B16),'League Races Female'!$AQ$8:$BD$86,6,FALSE),"")</f>
        <v>62.08060557038202</v>
      </c>
      <c r="P16" s="98">
        <f>IF($B16&lt;'League Races Female'!$BB$100+1,VLOOKUP(CONCATENATE($L$6,$B16),'League Races Female'!$AQ$8:$BD$86,7,FALSE),"")</f>
        <v>61.87366872607599</v>
      </c>
      <c r="Q16" s="98">
        <f>IF($B16&lt;'League Races Female'!$BB$100+1,VLOOKUP(CONCATENATE($L$6,$B16),'League Races Female'!$AQ$8:$BD$86,8,FALSE),"")</f>
        <v>62.76421333297518</v>
      </c>
      <c r="R16" s="98">
        <f>IF($B16&lt;'League Races Female'!$BB$100+1,VLOOKUP(CONCATENATE($L$6,$B16),'League Races Female'!$AQ$8:$BD$86,9,FALSE),"")</f>
        <v>60.76704835664193</v>
      </c>
      <c r="S16" s="102">
        <f>IF($B16&lt;'League Races Female'!$BB$100+1,VLOOKUP(CONCATENATE($L$6,$B16),'League Races Female'!$AQ$8:$BD$86,10,FALSE),"")</f>
        <v>247.48553598607512</v>
      </c>
      <c r="T16" s="20"/>
      <c r="U16" s="20"/>
      <c r="V16" s="20"/>
      <c r="W16" s="20"/>
      <c r="X16" s="20"/>
    </row>
    <row r="17" spans="1:24" ht="16.5">
      <c r="A17" s="20"/>
      <c r="B17" s="67">
        <f t="shared" si="0"/>
        <v>9</v>
      </c>
      <c r="C17" s="97" t="str">
        <f>IF($B17&lt;'League Races Male'!$BB$100+1,VLOOKUP(CONCATENATE($C$6,$B17),'League Races Male'!$AQ$8:$BD$86,13,FALSE),"")</f>
        <v>Brian Ashton</v>
      </c>
      <c r="D17" s="97">
        <f>IF($B17&lt;'League Races Male'!$BB$100+1,VLOOKUP(CONCATENATE($C$6,$B17),'League Races Male'!$AQ$8:$BD$86,14,FALSE),"")</f>
        <v>56</v>
      </c>
      <c r="E17" s="97" t="str">
        <f>IF($B17&lt;'League Races Male'!$BB$100+1,VLOOKUP(CONCATENATE($C$6,$B17),'League Races Male'!$AQ$8:$BD$86,11,FALSE),"")</f>
        <v>Q</v>
      </c>
      <c r="F17" s="98">
        <f>IF($B17&lt;'League Races Male'!$BB$100+1,VLOOKUP(CONCATENATE($C$6,$B17),'League Races Male'!$AQ$8:$BD$86,6,FALSE),"")</f>
        <v>70.30908016047438</v>
      </c>
      <c r="G17" s="98">
        <f>IF($B17&lt;'League Races Male'!$BB$100+1,VLOOKUP(CONCATENATE($C$6,$B17),'League Races Male'!$AQ$8:$BD$86,7,FALSE),"")</f>
        <v>72.7168868761789</v>
      </c>
      <c r="H17" s="98">
        <f>IF($B17&lt;'League Races Male'!$BB$100+1,VLOOKUP(CONCATENATE($C$6,$B17),'League Races Male'!$AQ$8:$BD$86,8,FALSE),"")</f>
        <v>58.38003428181459</v>
      </c>
      <c r="I17" s="98">
        <f>IF($B17&lt;'League Races Male'!$BB$100+1,VLOOKUP(CONCATENATE($C$6,$B17),'League Races Male'!$AQ$8:$BD$86,9,FALSE),"")</f>
        <v>69.52203821837952</v>
      </c>
      <c r="J17" s="99">
        <f>IF($B17&lt;'League Races Male'!$BB$100+1,VLOOKUP(CONCATENATE($C$6,$B17),'League Races Male'!$AQ$8:$BD$86,10,FALSE),"")</f>
        <v>270.9280395368474</v>
      </c>
      <c r="K17" s="141"/>
      <c r="L17" s="97" t="str">
        <f>IF($B17&lt;'League Races Female'!$BB$100+1,VLOOKUP(CONCATENATE($L$6,$B17),'League Races Female'!$AQ$8:$BD$86,13,FALSE),"")</f>
        <v>Karen Williams</v>
      </c>
      <c r="M17" s="97">
        <f>IF($B17&lt;'League Races Female'!$BB$100+1,VLOOKUP(CONCATENATE($L$6,$B17),'League Races Female'!$AQ$8:$BD$86,14,FALSE),"")</f>
        <v>35</v>
      </c>
      <c r="N17" s="97" t="str">
        <f>IF($B17&lt;'League Races Female'!$BB$100+1,VLOOKUP(CONCATENATE($L$6,$B17),'League Races Female'!$AQ$8:$BD$86,11,FALSE),"")</f>
        <v>Q</v>
      </c>
      <c r="O17" s="98">
        <f>IF($B17&lt;'League Races Female'!$BB$100+1,VLOOKUP(CONCATENATE($L$6,$B17),'League Races Female'!$AQ$8:$BD$86,6,FALSE),"")</f>
        <v>61.8672226058083</v>
      </c>
      <c r="P17" s="98">
        <f>IF($B17&lt;'League Races Female'!$BB$100+1,VLOOKUP(CONCATENATE($L$6,$B17),'League Races Female'!$AQ$8:$BD$86,7,FALSE),"")</f>
        <v>60.40735441695403</v>
      </c>
      <c r="Q17" s="98">
        <f>IF($B17&lt;'League Races Female'!$BB$100+1,VLOOKUP(CONCATENATE($L$6,$B17),'League Races Female'!$AQ$8:$BD$86,8,FALSE),"")</f>
        <v>58.502718193676664</v>
      </c>
      <c r="R17" s="98">
        <f>IF($B17&lt;'League Races Female'!$BB$100+1,VLOOKUP(CONCATENATE($L$6,$B17),'League Races Female'!$AQ$8:$BD$86,9,FALSE),"")</f>
        <v>60.99992509264278</v>
      </c>
      <c r="S17" s="102">
        <f>IF($B17&lt;'League Races Female'!$BB$100+1,VLOOKUP(CONCATENATE($L$6,$B17),'League Races Female'!$AQ$8:$BD$86,10,FALSE),"")</f>
        <v>241.77722030908177</v>
      </c>
      <c r="T17" s="20"/>
      <c r="U17" s="20"/>
      <c r="V17" s="20"/>
      <c r="W17" s="20"/>
      <c r="X17" s="20"/>
    </row>
    <row r="18" spans="1:24" ht="16.5">
      <c r="A18" s="20"/>
      <c r="B18" s="67">
        <f t="shared" si="0"/>
        <v>10</v>
      </c>
      <c r="C18" s="97" t="str">
        <f>IF($B18&lt;'League Races Male'!$BB$100+1,VLOOKUP(CONCATENATE($C$6,$B18),'League Races Male'!$AQ$8:$BD$86,13,FALSE),"")</f>
        <v>Arwel James</v>
      </c>
      <c r="D18" s="97">
        <f>IF($B18&lt;'League Races Male'!$BB$100+1,VLOOKUP(CONCATENATE($C$6,$B18),'League Races Male'!$AQ$8:$BD$86,14,FALSE),"")</f>
        <v>39</v>
      </c>
      <c r="E18" s="97" t="str">
        <f>IF($B18&lt;'League Races Male'!$BB$100+1,VLOOKUP(CONCATENATE($C$6,$B18),'League Races Male'!$AQ$8:$BD$86,11,FALSE),"")</f>
        <v>Q</v>
      </c>
      <c r="F18" s="98">
        <f>IF($B18&lt;'League Races Male'!$BB$100+1,VLOOKUP(CONCATENATE($C$6,$B18),'League Races Male'!$AQ$8:$BD$86,6,FALSE),"")</f>
        <v>66.09211493070933</v>
      </c>
      <c r="G18" s="98">
        <f>IF($B18&lt;'League Races Male'!$BB$100+1,VLOOKUP(CONCATENATE($C$6,$B18),'League Races Male'!$AQ$8:$BD$86,7,FALSE),"")</f>
        <v>65.1576971408182</v>
      </c>
      <c r="H18" s="98">
        <f>IF($B18&lt;'League Races Male'!$BB$100+1,VLOOKUP(CONCATENATE($C$6,$B18),'League Races Male'!$AQ$8:$BD$86,8,FALSE),"")</f>
        <v>67.44169155246706</v>
      </c>
      <c r="I18" s="98">
        <f>IF($B18&lt;'League Races Male'!$BB$100+1,VLOOKUP(CONCATENATE($C$6,$B18),'League Races Male'!$AQ$8:$BD$86,9,FALSE),"")</f>
        <v>64.35293639527762</v>
      </c>
      <c r="J18" s="99">
        <f>IF($B18&lt;'League Races Male'!$BB$100+1,VLOOKUP(CONCATENATE($C$6,$B18),'League Races Male'!$AQ$8:$BD$86,10,FALSE),"")</f>
        <v>263.0444400192722</v>
      </c>
      <c r="K18" s="141"/>
      <c r="L18" s="97" t="str">
        <f>IF($B18&lt;'League Races Female'!$BB$100+1,VLOOKUP(CONCATENATE($L$6,$B18),'League Races Female'!$AQ$8:$BD$86,13,FALSE),"")</f>
        <v>Megan Williams</v>
      </c>
      <c r="M18" s="97">
        <f>IF($B18&lt;'League Races Female'!$BB$100+1,VLOOKUP(CONCATENATE($L$6,$B18),'League Races Female'!$AQ$8:$BD$86,14,FALSE),"")</f>
        <v>42</v>
      </c>
      <c r="N18" s="97" t="str">
        <f>IF($B18&lt;'League Races Female'!$BB$100+1,VLOOKUP(CONCATENATE($L$6,$B18),'League Races Female'!$AQ$8:$BD$86,11,FALSE),"")</f>
        <v>Q</v>
      </c>
      <c r="O18" s="98">
        <f>IF($B18&lt;'League Races Female'!$BB$100+1,VLOOKUP(CONCATENATE($L$6,$B18),'League Races Female'!$AQ$8:$BD$86,6,FALSE),"")</f>
        <v>60.11101541141953</v>
      </c>
      <c r="P18" s="98">
        <f>IF($B18&lt;'League Races Female'!$BB$100+1,VLOOKUP(CONCATENATE($L$6,$B18),'League Races Female'!$AQ$8:$BD$86,7,FALSE),"")</f>
        <v>56.357290422867734</v>
      </c>
      <c r="Q18" s="98">
        <f>IF($B18&lt;'League Races Female'!$BB$100+1,VLOOKUP(CONCATENATE($L$6,$B18),'League Races Female'!$AQ$8:$BD$86,8,FALSE),"")</f>
        <v>57.49285084219492</v>
      </c>
      <c r="R18" s="98">
        <f>IF($B18&lt;'League Races Female'!$BB$100+1,VLOOKUP(CONCATENATE($L$6,$B18),'League Races Female'!$AQ$8:$BD$86,9,FALSE),"")</f>
        <v>52.273789156339255</v>
      </c>
      <c r="S18" s="102">
        <f>IF($B18&lt;'League Races Female'!$BB$100+1,VLOOKUP(CONCATENATE($L$6,$B18),'League Races Female'!$AQ$8:$BD$86,10,FALSE),"")</f>
        <v>226.23494583282144</v>
      </c>
      <c r="T18" s="20"/>
      <c r="U18" s="20"/>
      <c r="V18" s="20"/>
      <c r="W18" s="20"/>
      <c r="X18" s="20"/>
    </row>
    <row r="19" spans="1:24" ht="16.5">
      <c r="A19" s="20"/>
      <c r="B19" s="67">
        <f t="shared" si="0"/>
        <v>11</v>
      </c>
      <c r="C19" s="97" t="str">
        <f>IF($B19&lt;'League Races Male'!$BB$100+1,VLOOKUP(CONCATENATE($C$6,$B19),'League Races Male'!$AQ$8:$BD$86,13,FALSE),"")</f>
        <v>Adriano Evola</v>
      </c>
      <c r="D19" s="97">
        <f>IF($B19&lt;'League Races Male'!$BB$100+1,VLOOKUP(CONCATENATE($C$6,$B19),'League Races Male'!$AQ$8:$BD$86,14,FALSE),"")</f>
        <v>49</v>
      </c>
      <c r="E19" s="97" t="str">
        <f>IF($B19&lt;'League Races Male'!$BB$100+1,VLOOKUP(CONCATENATE($C$6,$B19),'League Races Male'!$AQ$8:$BD$86,11,FALSE),"")</f>
        <v>Q</v>
      </c>
      <c r="F19" s="98">
        <f>IF($B19&lt;'League Races Male'!$BB$100+1,VLOOKUP(CONCATENATE($C$6,$B19),'League Races Male'!$AQ$8:$BD$86,6,FALSE),"")</f>
        <v>64.56200604678301</v>
      </c>
      <c r="G19" s="98">
        <f>IF($B19&lt;'League Races Male'!$BB$100+1,VLOOKUP(CONCATENATE($C$6,$B19),'League Races Male'!$AQ$8:$BD$86,7,FALSE),"")</f>
        <v>68.94166878233693</v>
      </c>
      <c r="H19" s="98">
        <f>IF($B19&lt;'League Races Male'!$BB$100+1,VLOOKUP(CONCATENATE($C$6,$B19),'League Races Male'!$AQ$8:$BD$86,8,FALSE),"")</f>
        <v>65.06403336436736</v>
      </c>
      <c r="I19" s="98">
        <f>IF($B19&lt;'League Races Male'!$BB$100+1,VLOOKUP(CONCATENATE($C$6,$B19),'League Races Male'!$AQ$8:$BD$86,9,FALSE),"")</f>
        <v>60.89826573002032</v>
      </c>
      <c r="J19" s="99">
        <f>IF($B19&lt;'League Races Male'!$BB$100+1,VLOOKUP(CONCATENATE($C$6,$B19),'League Races Male'!$AQ$8:$BD$86,10,FALSE),"")</f>
        <v>259.46597392350765</v>
      </c>
      <c r="K19" s="141"/>
      <c r="L19" s="97" t="str">
        <f>IF($B19&lt;'League Races Female'!$BB$100+1,VLOOKUP(CONCATENATE($L$6,$B19),'League Races Female'!$AQ$8:$BD$86,13,FALSE),"")</f>
        <v>Emma Smith</v>
      </c>
      <c r="M19" s="97">
        <f>IF($B19&lt;'League Races Female'!$BB$100+1,VLOOKUP(CONCATENATE($L$6,$B19),'League Races Female'!$AQ$8:$BD$86,14,FALSE),"")</f>
        <v>30</v>
      </c>
      <c r="N19" s="97" t="str">
        <f>IF($B19&lt;'League Races Female'!$BB$100+1,VLOOKUP(CONCATENATE($L$6,$B19),'League Races Female'!$AQ$8:$BD$86,11,FALSE),"")</f>
        <v>NQ</v>
      </c>
      <c r="O19" s="98">
        <f>IF($B19&lt;'League Races Female'!$BB$100+1,VLOOKUP(CONCATENATE($L$6,$B19),'League Races Female'!$AQ$8:$BD$86,6,FALSE),"")</f>
        <v>60.56049213943952</v>
      </c>
      <c r="P19" s="98">
        <f>IF($B19&lt;'League Races Female'!$BB$100+1,VLOOKUP(CONCATENATE($L$6,$B19),'League Races Female'!$AQ$8:$BD$86,7,FALSE),"")</f>
        <v>61.611054937647445</v>
      </c>
      <c r="Q19" s="98">
        <f>IF($B19&lt;'League Races Female'!$BB$100+1,VLOOKUP(CONCATENATE($L$6,$B19),'League Races Female'!$AQ$8:$BD$86,8,FALSE),"")</f>
        <v>62.012279659338475</v>
      </c>
      <c r="R19" s="98">
        <f>IF($B19&lt;'League Races Female'!$BB$100+1,VLOOKUP(CONCATENATE($L$6,$B19),'League Races Female'!$AQ$8:$BD$86,9,FALSE),"")</f>
      </c>
      <c r="S19" s="102">
        <f>IF($B19&lt;'League Races Female'!$BB$100+1,VLOOKUP(CONCATENATE($L$6,$B19),'League Races Female'!$AQ$8:$BD$86,10,FALSE),"")</f>
        <v>184.18382673642543</v>
      </c>
      <c r="T19" s="20"/>
      <c r="U19" s="20"/>
      <c r="V19" s="20"/>
      <c r="W19" s="20"/>
      <c r="X19" s="20"/>
    </row>
    <row r="20" spans="1:24" ht="16.5">
      <c r="A20" s="20"/>
      <c r="B20" s="67">
        <f t="shared" si="0"/>
        <v>12</v>
      </c>
      <c r="C20" s="97" t="str">
        <f>IF($B20&lt;'League Races Male'!$BB$100+1,VLOOKUP(CONCATENATE($C$6,$B20),'League Races Male'!$AQ$8:$BD$86,13,FALSE),"")</f>
        <v>Daniel Burgess</v>
      </c>
      <c r="D20" s="97">
        <f>IF($B20&lt;'League Races Male'!$BB$100+1,VLOOKUP(CONCATENATE($C$6,$B20),'League Races Male'!$AQ$8:$BD$86,14,FALSE),"")</f>
        <v>31</v>
      </c>
      <c r="E20" s="97" t="str">
        <f>IF($B20&lt;'League Races Male'!$BB$100+1,VLOOKUP(CONCATENATE($C$6,$B20),'League Races Male'!$AQ$8:$BD$86,11,FALSE),"")</f>
        <v>Q</v>
      </c>
      <c r="F20" s="98">
        <f>IF($B20&lt;'League Races Male'!$BB$100+1,VLOOKUP(CONCATENATE($C$6,$B20),'League Races Male'!$AQ$8:$BD$86,6,FALSE),"")</f>
        <v>65.93503325529468</v>
      </c>
      <c r="G20" s="98">
        <f>IF($B20&lt;'League Races Male'!$BB$100+1,VLOOKUP(CONCATENATE($C$6,$B20),'League Races Male'!$AQ$8:$BD$86,7,FALSE),"")</f>
        <v>65.29801438473952</v>
      </c>
      <c r="H20" s="98">
        <f>IF($B20&lt;'League Races Male'!$BB$100+1,VLOOKUP(CONCATENATE($C$6,$B20),'League Races Male'!$AQ$8:$BD$86,8,FALSE),"")</f>
        <v>62.866299734198726</v>
      </c>
      <c r="I20" s="98">
        <f>IF($B20&lt;'League Races Male'!$BB$100+1,VLOOKUP(CONCATENATE($C$6,$B20),'League Races Male'!$AQ$8:$BD$86,9,FALSE),"")</f>
        <v>64.66662047622347</v>
      </c>
      <c r="J20" s="99">
        <f>IF($B20&lt;'League Races Male'!$BB$100+1,VLOOKUP(CONCATENATE($C$6,$B20),'League Races Male'!$AQ$8:$BD$86,10,FALSE),"")</f>
        <v>258.7659678504564</v>
      </c>
      <c r="K20" s="141"/>
      <c r="L20" s="97" t="str">
        <f>IF($B20&lt;'League Races Female'!$BB$100+1,VLOOKUP(CONCATENATE($L$6,$B20),'League Races Female'!$AQ$8:$BD$86,13,FALSE),"")</f>
        <v>Anita Saycell</v>
      </c>
      <c r="M20" s="97">
        <f>IF($B20&lt;'League Races Female'!$BB$100+1,VLOOKUP(CONCATENATE($L$6,$B20),'League Races Female'!$AQ$8:$BD$86,14,FALSE),"")</f>
        <v>30</v>
      </c>
      <c r="N20" s="97" t="str">
        <f>IF($B20&lt;'League Races Female'!$BB$100+1,VLOOKUP(CONCATENATE($L$6,$B20),'League Races Female'!$AQ$8:$BD$86,11,FALSE),"")</f>
        <v>NQ</v>
      </c>
      <c r="O20" s="98">
        <f>IF($B20&lt;'League Races Female'!$BB$100+1,VLOOKUP(CONCATENATE($L$6,$B20),'League Races Female'!$AQ$8:$BD$86,6,FALSE),"")</f>
        <v>68.73545384018618</v>
      </c>
      <c r="P20" s="98">
        <f>IF($B20&lt;'League Races Female'!$BB$100+1,VLOOKUP(CONCATENATE($L$6,$B20),'League Races Female'!$AQ$8:$BD$86,7,FALSE),"")</f>
        <v>73.13060817547358</v>
      </c>
      <c r="Q20" s="98">
        <f>IF($B20&lt;'League Races Female'!$BB$100+1,VLOOKUP(CONCATENATE($L$6,$B20),'League Races Female'!$AQ$8:$BD$86,8,FALSE),"")</f>
        <v>0</v>
      </c>
      <c r="R20" s="98">
        <f>IF($B20&lt;'League Races Female'!$BB$100+1,VLOOKUP(CONCATENATE($L$6,$B20),'League Races Female'!$AQ$8:$BD$86,9,FALSE),"")</f>
      </c>
      <c r="S20" s="102">
        <f>IF($B20&lt;'League Races Female'!$BB$100+1,VLOOKUP(CONCATENATE($L$6,$B20),'League Races Female'!$AQ$8:$BD$86,10,FALSE),"")</f>
        <v>141.86606201565976</v>
      </c>
      <c r="T20" s="20"/>
      <c r="U20" s="20"/>
      <c r="V20" s="20"/>
      <c r="W20" s="20"/>
      <c r="X20" s="20"/>
    </row>
    <row r="21" spans="1:24" ht="16.5">
      <c r="A21" s="20"/>
      <c r="B21" s="67">
        <f t="shared" si="0"/>
        <v>13</v>
      </c>
      <c r="C21" s="97" t="str">
        <f>IF($B21&lt;'League Races Male'!$BB$100+1,VLOOKUP(CONCATENATE($C$6,$B21),'League Races Male'!$AQ$8:$BD$86,13,FALSE),"")</f>
        <v>Martyn Saycell</v>
      </c>
      <c r="D21" s="97">
        <f>IF($B21&lt;'League Races Male'!$BB$100+1,VLOOKUP(CONCATENATE($C$6,$B21),'League Races Male'!$AQ$8:$BD$86,14,FALSE),"")</f>
        <v>34</v>
      </c>
      <c r="E21" s="97" t="str">
        <f>IF($B21&lt;'League Races Male'!$BB$100+1,VLOOKUP(CONCATENATE($C$6,$B21),'League Races Male'!$AQ$8:$BD$86,11,FALSE),"")</f>
        <v>Q</v>
      </c>
      <c r="F21" s="98">
        <f>IF($B21&lt;'League Races Male'!$BB$100+1,VLOOKUP(CONCATENATE($C$6,$B21),'League Races Male'!$AQ$8:$BD$86,6,FALSE),"")</f>
        <v>65.13532050967427</v>
      </c>
      <c r="G21" s="98">
        <f>IF($B21&lt;'League Races Male'!$BB$100+1,VLOOKUP(CONCATENATE($C$6,$B21),'League Races Male'!$AQ$8:$BD$86,7,FALSE),"")</f>
        <v>66.7327796891147</v>
      </c>
      <c r="H21" s="98">
        <f>IF($B21&lt;'League Races Male'!$BB$100+1,VLOOKUP(CONCATENATE($C$6,$B21),'League Races Male'!$AQ$8:$BD$86,8,FALSE),"")</f>
        <v>59.40321390981771</v>
      </c>
      <c r="I21" s="98">
        <f>IF($B21&lt;'League Races Male'!$BB$100+1,VLOOKUP(CONCATENATE($C$6,$B21),'League Races Male'!$AQ$8:$BD$86,9,FALSE),"")</f>
        <v>65.17579359884577</v>
      </c>
      <c r="J21" s="99">
        <f>IF($B21&lt;'League Races Male'!$BB$100+1,VLOOKUP(CONCATENATE($C$6,$B21),'League Races Male'!$AQ$8:$BD$86,10,FALSE),"")</f>
        <v>256.44710770745246</v>
      </c>
      <c r="K21" s="141"/>
      <c r="L21" s="97" t="str">
        <f>IF($B21&lt;'League Races Female'!$BB$100+1,VLOOKUP(CONCATENATE($L$6,$B21),'League Races Female'!$AQ$8:$BD$86,13,FALSE),"")</f>
        <v>Elizabeth Stieler</v>
      </c>
      <c r="M21" s="97">
        <f>IF($B21&lt;'League Races Female'!$BB$100+1,VLOOKUP(CONCATENATE($L$6,$B21),'League Races Female'!$AQ$8:$BD$86,14,FALSE),"")</f>
        <v>34</v>
      </c>
      <c r="N21" s="97" t="str">
        <f>IF($B21&lt;'League Races Female'!$BB$100+1,VLOOKUP(CONCATENATE($L$6,$B21),'League Races Female'!$AQ$8:$BD$86,11,FALSE),"")</f>
        <v>NQ</v>
      </c>
      <c r="O21" s="98">
        <f>IF($B21&lt;'League Races Female'!$BB$100+1,VLOOKUP(CONCATENATE($L$6,$B21),'League Races Female'!$AQ$8:$BD$86,6,FALSE),"")</f>
        <v>68.58615524205301</v>
      </c>
      <c r="P21" s="98">
        <f>IF($B21&lt;'League Races Female'!$BB$100+1,VLOOKUP(CONCATENATE($L$6,$B21),'League Races Female'!$AQ$8:$BD$86,7,FALSE),"")</f>
        <v>65.7976695026974</v>
      </c>
      <c r="Q21" s="98">
        <f>IF($B21&lt;'League Races Female'!$BB$100+1,VLOOKUP(CONCATENATE($L$6,$B21),'League Races Female'!$AQ$8:$BD$86,8,FALSE),"")</f>
        <v>0</v>
      </c>
      <c r="R21" s="98">
        <f>IF($B21&lt;'League Races Female'!$BB$100+1,VLOOKUP(CONCATENATE($L$6,$B21),'League Races Female'!$AQ$8:$BD$86,9,FALSE),"")</f>
      </c>
      <c r="S21" s="102">
        <f>IF($B21&lt;'League Races Female'!$BB$100+1,VLOOKUP(CONCATENATE($L$6,$B21),'League Races Female'!$AQ$8:$BD$86,10,FALSE),"")</f>
        <v>134.38382474475043</v>
      </c>
      <c r="T21" s="20"/>
      <c r="U21" s="20"/>
      <c r="V21" s="20"/>
      <c r="W21" s="20"/>
      <c r="X21" s="20"/>
    </row>
    <row r="22" spans="1:24" ht="16.5">
      <c r="A22" s="20"/>
      <c r="B22" s="67">
        <f t="shared" si="0"/>
        <v>14</v>
      </c>
      <c r="C22" s="97" t="str">
        <f>IF($B22&lt;'League Races Male'!$BB$100+1,VLOOKUP(CONCATENATE($C$6,$B22),'League Races Male'!$AQ$8:$BD$86,13,FALSE),"")</f>
        <v>Paul Arnold</v>
      </c>
      <c r="D22" s="97">
        <f>IF($B22&lt;'League Races Male'!$BB$100+1,VLOOKUP(CONCATENATE($C$6,$B22),'League Races Male'!$AQ$8:$BD$86,14,FALSE),"")</f>
        <v>51</v>
      </c>
      <c r="E22" s="97" t="str">
        <f>IF($B22&lt;'League Races Male'!$BB$100+1,VLOOKUP(CONCATENATE($C$6,$B22),'League Races Male'!$AQ$8:$BD$86,11,FALSE),"")</f>
        <v>Q</v>
      </c>
      <c r="F22" s="98">
        <f>IF($B22&lt;'League Races Male'!$BB$100+1,VLOOKUP(CONCATENATE($C$6,$B22),'League Races Male'!$AQ$8:$BD$86,6,FALSE),"")</f>
        <v>61.083187617128374</v>
      </c>
      <c r="G22" s="98">
        <f>IF($B22&lt;'League Races Male'!$BB$100+1,VLOOKUP(CONCATENATE($C$6,$B22),'League Races Male'!$AQ$8:$BD$86,7,FALSE),"")</f>
        <v>61.952752628910005</v>
      </c>
      <c r="H22" s="98">
        <f>IF($B22&lt;'League Races Male'!$BB$100+1,VLOOKUP(CONCATENATE($C$6,$B22),'League Races Male'!$AQ$8:$BD$86,8,FALSE),"")</f>
        <v>58.85889902330237</v>
      </c>
      <c r="I22" s="98">
        <f>IF($B22&lt;'League Races Male'!$BB$100+1,VLOOKUP(CONCATENATE($C$6,$B22),'League Races Male'!$AQ$8:$BD$86,9,FALSE),"")</f>
        <v>60.12230374132874</v>
      </c>
      <c r="J22" s="99">
        <f>IF($B22&lt;'League Races Male'!$BB$100+1,VLOOKUP(CONCATENATE($C$6,$B22),'League Races Male'!$AQ$8:$BD$86,10,FALSE),"")</f>
        <v>242.0171430106695</v>
      </c>
      <c r="K22" s="141"/>
      <c r="L22" s="97" t="str">
        <f>IF($B22&lt;'League Races Female'!$BB$100+1,VLOOKUP(CONCATENATE($L$6,$B22),'League Races Female'!$AQ$8:$BD$86,13,FALSE),"")</f>
        <v>Marion Garson</v>
      </c>
      <c r="M22" s="97">
        <f>IF($B22&lt;'League Races Female'!$BB$100+1,VLOOKUP(CONCATENATE($L$6,$B22),'League Races Female'!$AQ$8:$BD$86,14,FALSE),"")</f>
        <v>43</v>
      </c>
      <c r="N22" s="97" t="str">
        <f>IF($B22&lt;'League Races Female'!$BB$100+1,VLOOKUP(CONCATENATE($L$6,$B22),'League Races Female'!$AQ$8:$BD$86,11,FALSE),"")</f>
        <v>NQ</v>
      </c>
      <c r="O22" s="98">
        <f>IF($B22&lt;'League Races Female'!$BB$100+1,VLOOKUP(CONCATENATE($L$6,$B22),'League Races Female'!$AQ$8:$BD$86,6,FALSE),"")</f>
        <v>0</v>
      </c>
      <c r="P22" s="98">
        <f>IF($B22&lt;'League Races Female'!$BB$100+1,VLOOKUP(CONCATENATE($L$6,$B22),'League Races Female'!$AQ$8:$BD$86,7,FALSE),"")</f>
        <v>64.42249427686491</v>
      </c>
      <c r="Q22" s="98">
        <f>IF($B22&lt;'League Races Female'!$BB$100+1,VLOOKUP(CONCATENATE($L$6,$B22),'League Races Female'!$AQ$8:$BD$86,8,FALSE),"")</f>
        <v>65.32722860408543</v>
      </c>
      <c r="R22" s="98">
        <f>IF($B22&lt;'League Races Female'!$BB$100+1,VLOOKUP(CONCATENATE($L$6,$B22),'League Races Female'!$AQ$8:$BD$86,9,FALSE),"")</f>
      </c>
      <c r="S22" s="102">
        <f>IF($B22&lt;'League Races Female'!$BB$100+1,VLOOKUP(CONCATENATE($L$6,$B22),'League Races Female'!$AQ$8:$BD$86,10,FALSE),"")</f>
        <v>129.74972288095034</v>
      </c>
      <c r="T22" s="20"/>
      <c r="U22" s="20"/>
      <c r="V22" s="20"/>
      <c r="W22" s="20"/>
      <c r="X22" s="20"/>
    </row>
    <row r="23" spans="1:24" ht="16.5">
      <c r="A23" s="20"/>
      <c r="B23" s="67">
        <f t="shared" si="0"/>
        <v>15</v>
      </c>
      <c r="C23" s="97" t="str">
        <f>IF($B23&lt;'League Races Male'!$BB$100+1,VLOOKUP(CONCATENATE($C$6,$B23),'League Races Male'!$AQ$8:$BD$86,13,FALSE),"")</f>
        <v>Paul Scullion</v>
      </c>
      <c r="D23" s="97">
        <f>IF($B23&lt;'League Races Male'!$BB$100+1,VLOOKUP(CONCATENATE($C$6,$B23),'League Races Male'!$AQ$8:$BD$86,14,FALSE),"")</f>
        <v>44</v>
      </c>
      <c r="E23" s="97" t="str">
        <f>IF($B23&lt;'League Races Male'!$BB$100+1,VLOOKUP(CONCATENATE($C$6,$B23),'League Races Male'!$AQ$8:$BD$86,11,FALSE),"")</f>
        <v>NQ</v>
      </c>
      <c r="F23" s="98">
        <f>IF($B23&lt;'League Races Male'!$BB$100+1,VLOOKUP(CONCATENATE($C$6,$B23),'League Races Male'!$AQ$8:$BD$86,6,FALSE),"")</f>
        <v>75.50643835354869</v>
      </c>
      <c r="G23" s="98">
        <f>IF($B23&lt;'League Races Male'!$BB$100+1,VLOOKUP(CONCATENATE($C$6,$B23),'League Races Male'!$AQ$8:$BD$86,7,FALSE),"")</f>
        <v>77.28453291620447</v>
      </c>
      <c r="H23" s="98">
        <f>IF($B23&lt;'League Races Male'!$BB$100+1,VLOOKUP(CONCATENATE($C$6,$B23),'League Races Male'!$AQ$8:$BD$86,8,FALSE),"")</f>
        <v>0</v>
      </c>
      <c r="I23" s="98">
        <f>IF($B23&lt;'League Races Male'!$BB$100+1,VLOOKUP(CONCATENATE($C$6,$B23),'League Races Male'!$AQ$8:$BD$86,9,FALSE),"")</f>
      </c>
      <c r="J23" s="99">
        <f>IF($B23&lt;'League Races Male'!$BB$100+1,VLOOKUP(CONCATENATE($C$6,$B23),'League Races Male'!$AQ$8:$BD$86,10,FALSE),"")</f>
        <v>152.79097126975316</v>
      </c>
      <c r="K23" s="141"/>
      <c r="L23" s="97" t="str">
        <f>IF($B23&lt;'League Races Female'!$BB$100+1,VLOOKUP(CONCATENATE($L$6,$B23),'League Races Female'!$AQ$8:$BD$86,13,FALSE),"")</f>
        <v>Gwen Parry</v>
      </c>
      <c r="M23" s="97">
        <f>IF($B23&lt;'League Races Female'!$BB$100+1,VLOOKUP(CONCATENATE($L$6,$B23),'League Races Female'!$AQ$8:$BD$86,14,FALSE),"")</f>
        <v>37</v>
      </c>
      <c r="N23" s="97" t="str">
        <f>IF($B23&lt;'League Races Female'!$BB$100+1,VLOOKUP(CONCATENATE($L$6,$B23),'League Races Female'!$AQ$8:$BD$86,11,FALSE),"")</f>
        <v>NQ</v>
      </c>
      <c r="O23" s="98">
        <f>IF($B23&lt;'League Races Female'!$BB$100+1,VLOOKUP(CONCATENATE($L$6,$B23),'League Races Female'!$AQ$8:$BD$86,6,FALSE),"")</f>
        <v>61.32472480010631</v>
      </c>
      <c r="P23" s="98">
        <f>IF($B23&lt;'League Races Female'!$BB$100+1,VLOOKUP(CONCATENATE($L$6,$B23),'League Races Female'!$AQ$8:$BD$86,7,FALSE),"")</f>
        <v>0</v>
      </c>
      <c r="Q23" s="98">
        <f>IF($B23&lt;'League Races Female'!$BB$100+1,VLOOKUP(CONCATENATE($L$6,$B23),'League Races Female'!$AQ$8:$BD$86,8,FALSE),"")</f>
        <v>56.213665237592856</v>
      </c>
      <c r="R23" s="98">
        <f>IF($B23&lt;'League Races Female'!$BB$100+1,VLOOKUP(CONCATENATE($L$6,$B23),'League Races Female'!$AQ$8:$BD$86,9,FALSE),"")</f>
      </c>
      <c r="S23" s="102">
        <f>IF($B23&lt;'League Races Female'!$BB$100+1,VLOOKUP(CONCATENATE($L$6,$B23),'League Races Female'!$AQ$8:$BD$86,10,FALSE),"")</f>
        <v>117.53839003769917</v>
      </c>
      <c r="T23" s="20"/>
      <c r="U23" s="20"/>
      <c r="V23" s="20"/>
      <c r="W23" s="20"/>
      <c r="X23" s="20"/>
    </row>
    <row r="24" spans="1:24" ht="16.5">
      <c r="A24" s="20"/>
      <c r="B24" s="67">
        <f t="shared" si="0"/>
        <v>16</v>
      </c>
      <c r="C24" s="97" t="str">
        <f>IF($B24&lt;'League Races Male'!$BB$100+1,VLOOKUP(CONCATENATE($C$6,$B24),'League Races Male'!$AQ$8:$BD$86,13,FALSE),"")</f>
        <v>Paul Rose</v>
      </c>
      <c r="D24" s="97">
        <f>IF($B24&lt;'League Races Male'!$BB$100+1,VLOOKUP(CONCATENATE($C$6,$B24),'League Races Male'!$AQ$8:$BD$86,14,FALSE),"")</f>
        <v>43</v>
      </c>
      <c r="E24" s="97" t="str">
        <f>IF($B24&lt;'League Races Male'!$BB$100+1,VLOOKUP(CONCATENATE($C$6,$B24),'League Races Male'!$AQ$8:$BD$86,11,FALSE),"")</f>
        <v>NQ</v>
      </c>
      <c r="F24" s="98">
        <f>IF($B24&lt;'League Races Male'!$BB$100+1,VLOOKUP(CONCATENATE($C$6,$B24),'League Races Male'!$AQ$8:$BD$86,6,FALSE),"")</f>
        <v>72.85927478926928</v>
      </c>
      <c r="G24" s="98">
        <f>IF($B24&lt;'League Races Male'!$BB$100+1,VLOOKUP(CONCATENATE($C$6,$B24),'League Races Male'!$AQ$8:$BD$86,7,FALSE),"")</f>
        <v>67.56971654008895</v>
      </c>
      <c r="H24" s="98">
        <f>IF($B24&lt;'League Races Male'!$BB$100+1,VLOOKUP(CONCATENATE($C$6,$B24),'League Races Male'!$AQ$8:$BD$86,8,FALSE),"")</f>
        <v>0</v>
      </c>
      <c r="I24" s="98">
        <f>IF($B24&lt;'League Races Male'!$BB$100+1,VLOOKUP(CONCATENATE($C$6,$B24),'League Races Male'!$AQ$8:$BD$86,9,FALSE),"")</f>
      </c>
      <c r="J24" s="99">
        <f>IF($B24&lt;'League Races Male'!$BB$100+1,VLOOKUP(CONCATENATE($C$6,$B24),'League Races Male'!$AQ$8:$BD$86,10,FALSE),"")</f>
        <v>140.4289913293582</v>
      </c>
      <c r="K24" s="141"/>
      <c r="L24" s="97" t="str">
        <f>IF($B24&lt;'League Races Female'!$BB$100+1,VLOOKUP(CONCATENATE($L$6,$B24),'League Races Female'!$AQ$8:$BD$86,13,FALSE),"")</f>
        <v>Anna Bradley</v>
      </c>
      <c r="M24" s="97">
        <f>IF($B24&lt;'League Races Female'!$BB$100+1,VLOOKUP(CONCATENATE($L$6,$B24),'League Races Female'!$AQ$8:$BD$86,14,FALSE),"")</f>
        <v>34</v>
      </c>
      <c r="N24" s="97" t="str">
        <f>IF($B24&lt;'League Races Female'!$BB$100+1,VLOOKUP(CONCATENATE($L$6,$B24),'League Races Female'!$AQ$8:$BD$86,11,FALSE),"")</f>
        <v>NQ</v>
      </c>
      <c r="O24" s="98">
        <f>IF($B24&lt;'League Races Female'!$BB$100+1,VLOOKUP(CONCATENATE($L$6,$B24),'League Races Female'!$AQ$8:$BD$86,6,FALSE),"")</f>
        <v>56.62644442172</v>
      </c>
      <c r="P24" s="98">
        <f>IF($B24&lt;'League Races Female'!$BB$100+1,VLOOKUP(CONCATENATE($L$6,$B24),'League Races Female'!$AQ$8:$BD$86,7,FALSE),"")</f>
        <v>0</v>
      </c>
      <c r="Q24" s="98">
        <f>IF($B24&lt;'League Races Female'!$BB$100+1,VLOOKUP(CONCATENATE($L$6,$B24),'League Races Female'!$AQ$8:$BD$86,8,FALSE),"")</f>
        <v>57.83523972272777</v>
      </c>
      <c r="R24" s="98">
        <f>IF($B24&lt;'League Races Female'!$BB$100+1,VLOOKUP(CONCATENATE($L$6,$B24),'League Races Female'!$AQ$8:$BD$86,9,FALSE),"")</f>
      </c>
      <c r="S24" s="102">
        <f>IF($B24&lt;'League Races Female'!$BB$100+1,VLOOKUP(CONCATENATE($L$6,$B24),'League Races Female'!$AQ$8:$BD$86,10,FALSE),"")</f>
        <v>114.46168414444777</v>
      </c>
      <c r="T24" s="20"/>
      <c r="U24" s="20"/>
      <c r="V24" s="20"/>
      <c r="W24" s="20"/>
      <c r="X24" s="20"/>
    </row>
    <row r="25" spans="1:24" ht="16.5">
      <c r="A25" s="20"/>
      <c r="B25" s="67">
        <f t="shared" si="0"/>
        <v>17</v>
      </c>
      <c r="C25" s="97" t="str">
        <f>IF($B25&lt;'League Races Male'!$BB$100+1,VLOOKUP(CONCATENATE($C$6,$B25),'League Races Male'!$AQ$8:$BD$86,13,FALSE),"")</f>
        <v>Mark Steiler</v>
      </c>
      <c r="D25" s="97">
        <f>IF($B25&lt;'League Races Male'!$BB$100+1,VLOOKUP(CONCATENATE($C$6,$B25),'League Races Male'!$AQ$8:$BD$86,14,FALSE),"")</f>
        <v>45</v>
      </c>
      <c r="E25" s="97" t="str">
        <f>IF($B25&lt;'League Races Male'!$BB$100+1,VLOOKUP(CONCATENATE($C$6,$B25),'League Races Male'!$AQ$8:$BD$86,11,FALSE),"")</f>
        <v>NQ</v>
      </c>
      <c r="F25" s="98">
        <f>IF($B25&lt;'League Races Male'!$BB$100+1,VLOOKUP(CONCATENATE($C$6,$B25),'League Races Male'!$AQ$8:$BD$86,6,FALSE),"")</f>
        <v>0</v>
      </c>
      <c r="G25" s="98">
        <f>IF($B25&lt;'League Races Male'!$BB$100+1,VLOOKUP(CONCATENATE($C$6,$B25),'League Races Male'!$AQ$8:$BD$86,7,FALSE),"")</f>
        <v>69.33443387990287</v>
      </c>
      <c r="H25" s="98">
        <f>IF($B25&lt;'League Races Male'!$BB$100+1,VLOOKUP(CONCATENATE($C$6,$B25),'League Races Male'!$AQ$8:$BD$86,8,FALSE),"")</f>
        <v>68.08423635248415</v>
      </c>
      <c r="I25" s="98">
        <f>IF($B25&lt;'League Races Male'!$BB$100+1,VLOOKUP(CONCATENATE($C$6,$B25),'League Races Male'!$AQ$8:$BD$86,9,FALSE),"")</f>
      </c>
      <c r="J25" s="99">
        <f>IF($B25&lt;'League Races Male'!$BB$100+1,VLOOKUP(CONCATENATE($C$6,$B25),'League Races Male'!$AQ$8:$BD$86,10,FALSE),"")</f>
        <v>137.41867023238703</v>
      </c>
      <c r="K25" s="141"/>
      <c r="L25" s="97" t="str">
        <f>IF($B25&lt;'League Races Female'!$BB$100+1,VLOOKUP(CONCATENATE($L$6,$B25),'League Races Female'!$AQ$8:$BD$86,13,FALSE),"")</f>
        <v>Beth Holland</v>
      </c>
      <c r="M25" s="97">
        <f>IF($B25&lt;'League Races Female'!$BB$100+1,VLOOKUP(CONCATENATE($L$6,$B25),'League Races Female'!$AQ$8:$BD$86,14,FALSE),"")</f>
        <v>48</v>
      </c>
      <c r="N25" s="97" t="str">
        <f>IF($B25&lt;'League Races Female'!$BB$100+1,VLOOKUP(CONCATENATE($L$6,$B25),'League Races Female'!$AQ$8:$BD$86,11,FALSE),"")</f>
        <v>NQ</v>
      </c>
      <c r="O25" s="98">
        <f>IF($B25&lt;'League Races Female'!$BB$100+1,VLOOKUP(CONCATENATE($L$6,$B25),'League Races Female'!$AQ$8:$BD$86,6,FALSE),"")</f>
        <v>55.89325271919727</v>
      </c>
      <c r="P25" s="98">
        <f>IF($B25&lt;'League Races Female'!$BB$100+1,VLOOKUP(CONCATENATE($L$6,$B25),'League Races Female'!$AQ$8:$BD$86,7,FALSE),"")</f>
        <v>52.819105629802955</v>
      </c>
      <c r="Q25" s="98">
        <f>IF($B25&lt;'League Races Female'!$BB$100+1,VLOOKUP(CONCATENATE($L$6,$B25),'League Races Female'!$AQ$8:$BD$86,8,FALSE),"")</f>
        <v>0</v>
      </c>
      <c r="R25" s="98">
        <f>IF($B25&lt;'League Races Female'!$BB$100+1,VLOOKUP(CONCATENATE($L$6,$B25),'League Races Female'!$AQ$8:$BD$86,9,FALSE),"")</f>
      </c>
      <c r="S25" s="102">
        <f>IF($B25&lt;'League Races Female'!$BB$100+1,VLOOKUP(CONCATENATE($L$6,$B25),'League Races Female'!$AQ$8:$BD$86,10,FALSE),"")</f>
        <v>108.71235834900023</v>
      </c>
      <c r="T25" s="20"/>
      <c r="U25" s="20"/>
      <c r="V25" s="20"/>
      <c r="W25" s="20"/>
      <c r="X25" s="20"/>
    </row>
    <row r="26" spans="1:24" ht="16.5">
      <c r="A26" s="20"/>
      <c r="B26" s="67">
        <f t="shared" si="0"/>
        <v>18</v>
      </c>
      <c r="C26" s="97" t="str">
        <f>IF($B26&lt;'League Races Male'!$BB$100+1,VLOOKUP(CONCATENATE($C$6,$B26),'League Races Male'!$AQ$8:$BD$86,13,FALSE),"")</f>
        <v>Clive Williams</v>
      </c>
      <c r="D26" s="97">
        <f>IF($B26&lt;'League Races Male'!$BB$100+1,VLOOKUP(CONCATENATE($C$6,$B26),'League Races Male'!$AQ$8:$BD$86,14,FALSE),"")</f>
        <v>51</v>
      </c>
      <c r="E26" s="97" t="str">
        <f>IF($B26&lt;'League Races Male'!$BB$100+1,VLOOKUP(CONCATENATE($C$6,$B26),'League Races Male'!$AQ$8:$BD$86,11,FALSE),"")</f>
        <v>NQ</v>
      </c>
      <c r="F26" s="98">
        <f>IF($B26&lt;'League Races Male'!$BB$100+1,VLOOKUP(CONCATENATE($C$6,$B26),'League Races Male'!$AQ$8:$BD$86,6,FALSE),"")</f>
        <v>0</v>
      </c>
      <c r="G26" s="98">
        <f>IF($B26&lt;'League Races Male'!$BB$100+1,VLOOKUP(CONCATENATE($C$6,$B26),'League Races Male'!$AQ$8:$BD$86,7,FALSE),"")</f>
        <v>68.61378169381791</v>
      </c>
      <c r="H26" s="98">
        <f>IF($B26&lt;'League Races Male'!$BB$100+1,VLOOKUP(CONCATENATE($C$6,$B26),'League Races Male'!$AQ$8:$BD$86,8,FALSE),"")</f>
        <v>64.26042259911698</v>
      </c>
      <c r="I26" s="98">
        <f>IF($B26&lt;'League Races Male'!$BB$100+1,VLOOKUP(CONCATENATE($C$6,$B26),'League Races Male'!$AQ$8:$BD$86,9,FALSE),"")</f>
      </c>
      <c r="J26" s="99">
        <f>IF($B26&lt;'League Races Male'!$BB$100+1,VLOOKUP(CONCATENATE($C$6,$B26),'League Races Male'!$AQ$8:$BD$86,10,FALSE),"")</f>
        <v>132.8742042929349</v>
      </c>
      <c r="K26" s="141"/>
      <c r="L26" s="97" t="str">
        <f>IF($B26&lt;'League Races Female'!$BB$100+1,VLOOKUP(CONCATENATE($L$6,$B26),'League Races Female'!$AQ$8:$BD$86,13,FALSE),"")</f>
        <v>Rhian Breese</v>
      </c>
      <c r="M26" s="97">
        <f>IF($B26&lt;'League Races Female'!$BB$100+1,VLOOKUP(CONCATENATE($L$6,$B26),'League Races Female'!$AQ$8:$BD$86,14,FALSE),"")</f>
        <v>30</v>
      </c>
      <c r="N26" s="97" t="str">
        <f>IF($B26&lt;'League Races Female'!$BB$100+1,VLOOKUP(CONCATENATE($L$6,$B26),'League Races Female'!$AQ$8:$BD$86,11,FALSE),"")</f>
        <v>NQ</v>
      </c>
      <c r="O26" s="98">
        <f>IF($B26&lt;'League Races Female'!$BB$100+1,VLOOKUP(CONCATENATE($L$6,$B26),'League Races Female'!$AQ$8:$BD$86,6,FALSE),"")</f>
        <v>53.022142429682816</v>
      </c>
      <c r="P26" s="98">
        <f>IF($B26&lt;'League Races Female'!$BB$100+1,VLOOKUP(CONCATENATE($L$6,$B26),'League Races Female'!$AQ$8:$BD$86,7,FALSE),"")</f>
        <v>55.31013615733736</v>
      </c>
      <c r="Q26" s="98">
        <f>IF($B26&lt;'League Races Female'!$BB$100+1,VLOOKUP(CONCATENATE($L$6,$B26),'League Races Female'!$AQ$8:$BD$86,8,FALSE),"")</f>
        <v>0</v>
      </c>
      <c r="R26" s="98">
        <f>IF($B26&lt;'League Races Female'!$BB$100+1,VLOOKUP(CONCATENATE($L$6,$B26),'League Races Female'!$AQ$8:$BD$86,9,FALSE),"")</f>
      </c>
      <c r="S26" s="102">
        <f>IF($B26&lt;'League Races Female'!$BB$100+1,VLOOKUP(CONCATENATE($L$6,$B26),'League Races Female'!$AQ$8:$BD$86,10,FALSE),"")</f>
        <v>108.33227858702017</v>
      </c>
      <c r="T26" s="20"/>
      <c r="U26" s="20"/>
      <c r="V26" s="20"/>
      <c r="W26" s="20"/>
      <c r="X26" s="20"/>
    </row>
    <row r="27" spans="1:24" ht="16.5">
      <c r="A27" s="20"/>
      <c r="B27" s="67">
        <f t="shared" si="0"/>
        <v>19</v>
      </c>
      <c r="C27" s="97" t="str">
        <f>IF($B27&lt;'League Races Male'!$BB$100+1,VLOOKUP(CONCATENATE($C$6,$B27),'League Races Male'!$AQ$8:$BD$86,13,FALSE),"")</f>
        <v>Gethin Holland</v>
      </c>
      <c r="D27" s="97">
        <f>IF($B27&lt;'League Races Male'!$BB$100+1,VLOOKUP(CONCATENATE($C$6,$B27),'League Races Male'!$AQ$8:$BD$86,14,FALSE),"")</f>
        <v>30</v>
      </c>
      <c r="E27" s="97" t="str">
        <f>IF($B27&lt;'League Races Male'!$BB$100+1,VLOOKUP(CONCATENATE($C$6,$B27),'League Races Male'!$AQ$8:$BD$86,11,FALSE),"")</f>
        <v>NQ</v>
      </c>
      <c r="F27" s="98">
        <f>IF($B27&lt;'League Races Male'!$BB$100+1,VLOOKUP(CONCATENATE($C$6,$B27),'League Races Male'!$AQ$8:$BD$86,6,FALSE),"")</f>
        <v>66.58119658119658</v>
      </c>
      <c r="G27" s="98">
        <f>IF($B27&lt;'League Races Male'!$BB$100+1,VLOOKUP(CONCATENATE($C$6,$B27),'League Races Male'!$AQ$8:$BD$86,7,FALSE),"")</f>
        <v>65.70397111913357</v>
      </c>
      <c r="H27" s="98">
        <f>IF($B27&lt;'League Races Male'!$BB$100+1,VLOOKUP(CONCATENATE($C$6,$B27),'League Races Male'!$AQ$8:$BD$86,8,FALSE),"")</f>
        <v>0</v>
      </c>
      <c r="I27" s="98">
        <f>IF($B27&lt;'League Races Male'!$BB$100+1,VLOOKUP(CONCATENATE($C$6,$B27),'League Races Male'!$AQ$8:$BD$86,9,FALSE),"")</f>
      </c>
      <c r="J27" s="99">
        <f>IF($B27&lt;'League Races Male'!$BB$100+1,VLOOKUP(CONCATENATE($C$6,$B27),'League Races Male'!$AQ$8:$BD$86,10,FALSE),"")</f>
        <v>132.28516770033013</v>
      </c>
      <c r="K27" s="141"/>
      <c r="L27" s="97" t="str">
        <f>IF($B27&lt;'League Races Female'!$BB$100+1,VLOOKUP(CONCATENATE($L$6,$B27),'League Races Female'!$AQ$8:$BD$86,13,FALSE),"")</f>
        <v>Sarah Birch</v>
      </c>
      <c r="M27" s="97">
        <f>IF($B27&lt;'League Races Female'!$BB$100+1,VLOOKUP(CONCATENATE($L$6,$B27),'League Races Female'!$AQ$8:$BD$86,14,FALSE),"")</f>
        <v>30</v>
      </c>
      <c r="N27" s="97" t="str">
        <f>IF($B27&lt;'League Races Female'!$BB$100+1,VLOOKUP(CONCATENATE($L$6,$B27),'League Races Female'!$AQ$8:$BD$86,11,FALSE),"")</f>
        <v>NQ</v>
      </c>
      <c r="O27" s="98">
        <f>IF($B27&lt;'League Races Female'!$BB$100+1,VLOOKUP(CONCATENATE($L$6,$B27),'League Races Female'!$AQ$8:$BD$86,6,FALSE),"")</f>
        <v>49.608062709966404</v>
      </c>
      <c r="P27" s="98">
        <f>IF($B27&lt;'League Races Female'!$BB$100+1,VLOOKUP(CONCATENATE($L$6,$B27),'League Races Female'!$AQ$8:$BD$86,7,FALSE),"")</f>
        <v>47.1985540924348</v>
      </c>
      <c r="Q27" s="98">
        <f>IF($B27&lt;'League Races Female'!$BB$100+1,VLOOKUP(CONCATENATE($L$6,$B27),'League Races Female'!$AQ$8:$BD$86,8,FALSE),"")</f>
        <v>0</v>
      </c>
      <c r="R27" s="98">
        <f>IF($B27&lt;'League Races Female'!$BB$100+1,VLOOKUP(CONCATENATE($L$6,$B27),'League Races Female'!$AQ$8:$BD$86,9,FALSE),"")</f>
      </c>
      <c r="S27" s="102">
        <f>IF($B27&lt;'League Races Female'!$BB$100+1,VLOOKUP(CONCATENATE($L$6,$B27),'League Races Female'!$AQ$8:$BD$86,10,FALSE),"")</f>
        <v>96.80661680240121</v>
      </c>
      <c r="T27" s="20"/>
      <c r="U27" s="20"/>
      <c r="V27" s="20"/>
      <c r="W27" s="20"/>
      <c r="X27" s="20"/>
    </row>
    <row r="28" spans="1:24" ht="16.5">
      <c r="A28" s="20"/>
      <c r="B28" s="67">
        <f t="shared" si="0"/>
        <v>20</v>
      </c>
      <c r="C28" s="97" t="str">
        <f>IF($B28&lt;'League Races Male'!$BB$100+1,VLOOKUP(CONCATENATE($C$6,$B28),'League Races Male'!$AQ$8:$BD$86,13,FALSE),"")</f>
        <v>Daniel Davies</v>
      </c>
      <c r="D28" s="97">
        <f>IF($B28&lt;'League Races Male'!$BB$100+1,VLOOKUP(CONCATENATE($C$6,$B28),'League Races Male'!$AQ$8:$BD$86,14,FALSE),"")</f>
        <v>30</v>
      </c>
      <c r="E28" s="97" t="str">
        <f>IF($B28&lt;'League Races Male'!$BB$100+1,VLOOKUP(CONCATENATE($C$6,$B28),'League Races Male'!$AQ$8:$BD$86,11,FALSE),"")</f>
        <v>NQ</v>
      </c>
      <c r="F28" s="98">
        <f>IF($B28&lt;'League Races Male'!$BB$100+1,VLOOKUP(CONCATENATE($C$6,$B28),'League Races Male'!$AQ$8:$BD$86,6,FALSE),"")</f>
        <v>64.32700247729149</v>
      </c>
      <c r="G28" s="98">
        <f>IF($B28&lt;'League Races Male'!$BB$100+1,VLOOKUP(CONCATENATE($C$6,$B28),'League Races Male'!$AQ$8:$BD$86,7,FALSE),"")</f>
        <v>0</v>
      </c>
      <c r="H28" s="98">
        <f>IF($B28&lt;'League Races Male'!$BB$100+1,VLOOKUP(CONCATENATE($C$6,$B28),'League Races Male'!$AQ$8:$BD$86,8,FALSE),"")</f>
        <v>62.26083903809023</v>
      </c>
      <c r="I28" s="98">
        <f>IF($B28&lt;'League Races Male'!$BB$100+1,VLOOKUP(CONCATENATE($C$6,$B28),'League Races Male'!$AQ$8:$BD$86,9,FALSE),"")</f>
      </c>
      <c r="J28" s="99">
        <f>IF($B28&lt;'League Races Male'!$BB$100+1,VLOOKUP(CONCATENATE($C$6,$B28),'League Races Male'!$AQ$8:$BD$86,10,FALSE),"")</f>
        <v>126.58784151538171</v>
      </c>
      <c r="K28" s="141"/>
      <c r="L28" s="97" t="str">
        <f>IF($B28&lt;'League Races Female'!$BB$100+1,VLOOKUP(CONCATENATE($L$6,$B28),'League Races Female'!$AQ$8:$BD$86,13,FALSE),"")</f>
        <v>Sian Thomas</v>
      </c>
      <c r="M28" s="97">
        <f>IF($B28&lt;'League Races Female'!$BB$100+1,VLOOKUP(CONCATENATE($L$6,$B28),'League Races Female'!$AQ$8:$BD$86,14,FALSE),"")</f>
        <v>30</v>
      </c>
      <c r="N28" s="97" t="str">
        <f>IF($B28&lt;'League Races Female'!$BB$100+1,VLOOKUP(CONCATENATE($L$6,$B28),'League Races Female'!$AQ$8:$BD$86,11,FALSE),"")</f>
        <v>NQ</v>
      </c>
      <c r="O28" s="98">
        <f>IF($B28&lt;'League Races Female'!$BB$100+1,VLOOKUP(CONCATENATE($L$6,$B28),'League Races Female'!$AQ$8:$BD$86,6,FALSE),"")</f>
        <v>70.48528241845663</v>
      </c>
      <c r="P28" s="98">
        <f>IF($B28&lt;'League Races Female'!$BB$100+1,VLOOKUP(CONCATENATE($L$6,$B28),'League Races Female'!$AQ$8:$BD$86,7,FALSE),"")</f>
        <v>0</v>
      </c>
      <c r="Q28" s="98">
        <f>IF($B28&lt;'League Races Female'!$BB$100+1,VLOOKUP(CONCATENATE($L$6,$B28),'League Races Female'!$AQ$8:$BD$86,8,FALSE),"")</f>
        <v>0</v>
      </c>
      <c r="R28" s="98">
        <f>IF($B28&lt;'League Races Female'!$BB$100+1,VLOOKUP(CONCATENATE($L$6,$B28),'League Races Female'!$AQ$8:$BD$86,9,FALSE),"")</f>
      </c>
      <c r="S28" s="102">
        <f>IF($B28&lt;'League Races Female'!$BB$100+1,VLOOKUP(CONCATENATE($L$6,$B28),'League Races Female'!$AQ$8:$BD$86,10,FALSE),"")</f>
        <v>70.48528241845663</v>
      </c>
      <c r="T28" s="20"/>
      <c r="U28" s="20"/>
      <c r="V28" s="20"/>
      <c r="W28" s="20"/>
      <c r="X28" s="20"/>
    </row>
    <row r="29" spans="1:24" ht="16.5">
      <c r="A29" s="20"/>
      <c r="B29" s="67">
        <f t="shared" si="0"/>
        <v>21</v>
      </c>
      <c r="C29" s="97" t="str">
        <f>IF($B29&lt;'League Races Male'!$BB$100+1,VLOOKUP(CONCATENATE($C$6,$B29),'League Races Male'!$AQ$8:$BD$86,13,FALSE),"")</f>
        <v>Andy Eden</v>
      </c>
      <c r="D29" s="97">
        <f>IF($B29&lt;'League Races Male'!$BB$100+1,VLOOKUP(CONCATENATE($C$6,$B29),'League Races Male'!$AQ$8:$BD$86,14,FALSE),"")</f>
        <v>47</v>
      </c>
      <c r="E29" s="97" t="str">
        <f>IF($B29&lt;'League Races Male'!$BB$100+1,VLOOKUP(CONCATENATE($C$6,$B29),'League Races Male'!$AQ$8:$BD$86,11,FALSE),"")</f>
        <v>NQ</v>
      </c>
      <c r="F29" s="98">
        <f>IF($B29&lt;'League Races Male'!$BB$100+1,VLOOKUP(CONCATENATE($C$6,$B29),'League Races Male'!$AQ$8:$BD$86,6,FALSE),"")</f>
        <v>61.460458281997944</v>
      </c>
      <c r="G29" s="98">
        <f>IF($B29&lt;'League Races Male'!$BB$100+1,VLOOKUP(CONCATENATE($C$6,$B29),'League Races Male'!$AQ$8:$BD$86,7,FALSE),"")</f>
        <v>65.03201020057651</v>
      </c>
      <c r="H29" s="98">
        <f>IF($B29&lt;'League Races Male'!$BB$100+1,VLOOKUP(CONCATENATE($C$6,$B29),'League Races Male'!$AQ$8:$BD$86,8,FALSE),"")</f>
        <v>0</v>
      </c>
      <c r="I29" s="98">
        <f>IF($B29&lt;'League Races Male'!$BB$100+1,VLOOKUP(CONCATENATE($C$6,$B29),'League Races Male'!$AQ$8:$BD$86,9,FALSE),"")</f>
      </c>
      <c r="J29" s="99">
        <f>IF($B29&lt;'League Races Male'!$BB$100+1,VLOOKUP(CONCATENATE($C$6,$B29),'League Races Male'!$AQ$8:$BD$86,10,FALSE),"")</f>
        <v>126.49246848257445</v>
      </c>
      <c r="K29" s="141"/>
      <c r="L29" s="97" t="str">
        <f>IF($B29&lt;'League Races Female'!$BB$100+1,VLOOKUP(CONCATENATE($L$6,$B29),'League Races Female'!$AQ$8:$BD$86,13,FALSE),"")</f>
        <v>Delor Harvey</v>
      </c>
      <c r="M29" s="97">
        <f>IF($B29&lt;'League Races Female'!$BB$100+1,VLOOKUP(CONCATENATE($L$6,$B29),'League Races Female'!$AQ$8:$BD$86,14,FALSE),"")</f>
        <v>40</v>
      </c>
      <c r="N29" s="97" t="str">
        <f>IF($B29&lt;'League Races Female'!$BB$100+1,VLOOKUP(CONCATENATE($L$6,$B29),'League Races Female'!$AQ$8:$BD$86,11,FALSE),"")</f>
        <v>NQ</v>
      </c>
      <c r="O29" s="98">
        <f>IF($B29&lt;'League Races Female'!$BB$100+1,VLOOKUP(CONCATENATE($L$6,$B29),'League Races Female'!$AQ$8:$BD$86,6,FALSE),"")</f>
        <v>0</v>
      </c>
      <c r="P29" s="98">
        <f>IF($B29&lt;'League Races Female'!$BB$100+1,VLOOKUP(CONCATENATE($L$6,$B29),'League Races Female'!$AQ$8:$BD$86,7,FALSE),"")</f>
        <v>67.34378427497681</v>
      </c>
      <c r="Q29" s="98">
        <f>IF($B29&lt;'League Races Female'!$BB$100+1,VLOOKUP(CONCATENATE($L$6,$B29),'League Races Female'!$AQ$8:$BD$86,8,FALSE),"")</f>
        <v>0</v>
      </c>
      <c r="R29" s="98">
        <f>IF($B29&lt;'League Races Female'!$BB$100+1,VLOOKUP(CONCATENATE($L$6,$B29),'League Races Female'!$AQ$8:$BD$86,9,FALSE),"")</f>
      </c>
      <c r="S29" s="102">
        <f>IF($B29&lt;'League Races Female'!$BB$100+1,VLOOKUP(CONCATENATE($L$6,$B29),'League Races Female'!$AQ$8:$BD$86,10,FALSE),"")</f>
        <v>67.34378427497681</v>
      </c>
      <c r="T29" s="20"/>
      <c r="U29" s="20"/>
      <c r="V29" s="20"/>
      <c r="W29" s="20"/>
      <c r="X29" s="20"/>
    </row>
    <row r="30" spans="1:24" ht="16.5">
      <c r="A30" s="20"/>
      <c r="B30" s="67">
        <f t="shared" si="0"/>
        <v>22</v>
      </c>
      <c r="C30" s="97" t="str">
        <f>IF($B30&lt;'League Races Male'!$BB$100+1,VLOOKUP(CONCATENATE($C$6,$B30),'League Races Male'!$AQ$8:$BD$86,13,FALSE),"")</f>
        <v>Will Troughton</v>
      </c>
      <c r="D30" s="97">
        <f>IF($B30&lt;'League Races Male'!$BB$100+1,VLOOKUP(CONCATENATE($C$6,$B30),'League Races Male'!$AQ$8:$BD$86,14,FALSE),"")</f>
        <v>46</v>
      </c>
      <c r="E30" s="97" t="str">
        <f>IF($B30&lt;'League Races Male'!$BB$100+1,VLOOKUP(CONCATENATE($C$6,$B30),'League Races Male'!$AQ$8:$BD$86,11,FALSE),"")</f>
        <v>NQ</v>
      </c>
      <c r="F30" s="98">
        <f>IF($B30&lt;'League Races Male'!$BB$100+1,VLOOKUP(CONCATENATE($C$6,$B30),'League Races Male'!$AQ$8:$BD$86,6,FALSE),"")</f>
        <v>63.0090875442924</v>
      </c>
      <c r="G30" s="98">
        <f>IF($B30&lt;'League Races Male'!$BB$100+1,VLOOKUP(CONCATENATE($C$6,$B30),'League Races Male'!$AQ$8:$BD$86,7,FALSE),"")</f>
        <v>60.78537374766544</v>
      </c>
      <c r="H30" s="98">
        <f>IF($B30&lt;'League Races Male'!$BB$100+1,VLOOKUP(CONCATENATE($C$6,$B30),'League Races Male'!$AQ$8:$BD$86,8,FALSE),"")</f>
        <v>0</v>
      </c>
      <c r="I30" s="98">
        <f>IF($B30&lt;'League Races Male'!$BB$100+1,VLOOKUP(CONCATENATE($C$6,$B30),'League Races Male'!$AQ$8:$BD$86,9,FALSE),"")</f>
      </c>
      <c r="J30" s="99">
        <f>IF($B30&lt;'League Races Male'!$BB$100+1,VLOOKUP(CONCATENATE($C$6,$B30),'League Races Male'!$AQ$8:$BD$86,10,FALSE),"")</f>
        <v>123.79446129195784</v>
      </c>
      <c r="K30" s="141"/>
      <c r="L30" s="97" t="str">
        <f>IF($B30&lt;'League Races Female'!$BB$100+1,VLOOKUP(CONCATENATE($L$6,$B30),'League Races Female'!$AQ$8:$BD$86,13,FALSE),"")</f>
        <v>Helen Stretch</v>
      </c>
      <c r="M30" s="97">
        <f>IF($B30&lt;'League Races Female'!$BB$100+1,VLOOKUP(CONCATENATE($L$6,$B30),'League Races Female'!$AQ$8:$BD$86,14,FALSE),"")</f>
        <v>55</v>
      </c>
      <c r="N30" s="97" t="str">
        <f>IF($B30&lt;'League Races Female'!$BB$100+1,VLOOKUP(CONCATENATE($L$6,$B30),'League Races Female'!$AQ$8:$BD$86,11,FALSE),"")</f>
        <v>NQ</v>
      </c>
      <c r="O30" s="98">
        <f>IF($B30&lt;'League Races Female'!$BB$100+1,VLOOKUP(CONCATENATE($L$6,$B30),'League Races Female'!$AQ$8:$BD$86,6,FALSE),"")</f>
        <v>0</v>
      </c>
      <c r="P30" s="98">
        <f>IF($B30&lt;'League Races Female'!$BB$100+1,VLOOKUP(CONCATENATE($L$6,$B30),'League Races Female'!$AQ$8:$BD$86,7,FALSE),"")</f>
        <v>64.02777432381171</v>
      </c>
      <c r="Q30" s="98">
        <f>IF($B30&lt;'League Races Female'!$BB$100+1,VLOOKUP(CONCATENATE($L$6,$B30),'League Races Female'!$AQ$8:$BD$86,8,FALSE),"")</f>
        <v>0</v>
      </c>
      <c r="R30" s="98">
        <f>IF($B30&lt;'League Races Female'!$BB$100+1,VLOOKUP(CONCATENATE($L$6,$B30),'League Races Female'!$AQ$8:$BD$86,9,FALSE),"")</f>
      </c>
      <c r="S30" s="102">
        <f>IF($B30&lt;'League Races Female'!$BB$100+1,VLOOKUP(CONCATENATE($L$6,$B30),'League Races Female'!$AQ$8:$BD$86,10,FALSE),"")</f>
        <v>64.02777432381171</v>
      </c>
      <c r="T30" s="20"/>
      <c r="U30" s="20"/>
      <c r="V30" s="20"/>
      <c r="W30" s="20"/>
      <c r="X30" s="20"/>
    </row>
    <row r="31" spans="1:24" ht="16.5">
      <c r="A31" s="20"/>
      <c r="B31" s="67">
        <f t="shared" si="0"/>
        <v>23</v>
      </c>
      <c r="C31" s="97" t="str">
        <f>IF($B31&lt;'League Races Male'!$BB$100+1,VLOOKUP(CONCATENATE($C$6,$B31),'League Races Male'!$AQ$8:$BD$86,13,FALSE),"")</f>
        <v>Scott Tompsett</v>
      </c>
      <c r="D31" s="97">
        <f>IF($B31&lt;'League Races Male'!$BB$100+1,VLOOKUP(CONCATENATE($C$6,$B31),'League Races Male'!$AQ$8:$BD$86,14,FALSE),"")</f>
        <v>30</v>
      </c>
      <c r="E31" s="97" t="str">
        <f>IF($B31&lt;'League Races Male'!$BB$100+1,VLOOKUP(CONCATENATE($C$6,$B31),'League Races Male'!$AQ$8:$BD$86,11,FALSE),"")</f>
        <v>NQ</v>
      </c>
      <c r="F31" s="98">
        <f>IF($B31&lt;'League Races Male'!$BB$100+1,VLOOKUP(CONCATENATE($C$6,$B31),'League Races Male'!$AQ$8:$BD$86,6,FALSE),"")</f>
        <v>82.17299578059071</v>
      </c>
      <c r="G31" s="98">
        <f>IF($B31&lt;'League Races Male'!$BB$100+1,VLOOKUP(CONCATENATE($C$6,$B31),'League Races Male'!$AQ$8:$BD$86,7,FALSE),"")</f>
        <v>0</v>
      </c>
      <c r="H31" s="98">
        <f>IF($B31&lt;'League Races Male'!$BB$100+1,VLOOKUP(CONCATENATE($C$6,$B31),'League Races Male'!$AQ$8:$BD$86,8,FALSE),"")</f>
        <v>0</v>
      </c>
      <c r="I31" s="98">
        <f>IF($B31&lt;'League Races Male'!$BB$100+1,VLOOKUP(CONCATENATE($C$6,$B31),'League Races Male'!$AQ$8:$BD$86,9,FALSE),"")</f>
      </c>
      <c r="J31" s="99">
        <f>IF($B31&lt;'League Races Male'!$BB$100+1,VLOOKUP(CONCATENATE($C$6,$B31),'League Races Male'!$AQ$8:$BD$86,10,FALSE),"")</f>
        <v>82.17299578059071</v>
      </c>
      <c r="K31" s="141"/>
      <c r="L31" s="97" t="str">
        <f>IF($B31&lt;'League Races Female'!$BB$100+1,VLOOKUP(CONCATENATE($L$6,$B31),'League Races Female'!$AQ$8:$BD$86,13,FALSE),"")</f>
        <v>Heather Pitcher</v>
      </c>
      <c r="M31" s="97">
        <f>IF($B31&lt;'League Races Female'!$BB$100+1,VLOOKUP(CONCATENATE($L$6,$B31),'League Races Female'!$AQ$8:$BD$86,14,FALSE),"")</f>
        <v>39</v>
      </c>
      <c r="N31" s="97" t="str">
        <f>IF($B31&lt;'League Races Female'!$BB$100+1,VLOOKUP(CONCATENATE($L$6,$B31),'League Races Female'!$AQ$8:$BD$86,11,FALSE),"")</f>
        <v>NQ</v>
      </c>
      <c r="O31" s="98">
        <f>IF($B31&lt;'League Races Female'!$BB$100+1,VLOOKUP(CONCATENATE($L$6,$B31),'League Races Female'!$AQ$8:$BD$86,6,FALSE),"")</f>
        <v>62.70265572639788</v>
      </c>
      <c r="P31" s="98">
        <f>IF($B31&lt;'League Races Female'!$BB$100+1,VLOOKUP(CONCATENATE($L$6,$B31),'League Races Female'!$AQ$8:$BD$86,7,FALSE),"")</f>
        <v>0</v>
      </c>
      <c r="Q31" s="98">
        <f>IF($B31&lt;'League Races Female'!$BB$100+1,VLOOKUP(CONCATENATE($L$6,$B31),'League Races Female'!$AQ$8:$BD$86,8,FALSE),"")</f>
        <v>0</v>
      </c>
      <c r="R31" s="98">
        <f>IF($B31&lt;'League Races Female'!$BB$100+1,VLOOKUP(CONCATENATE($L$6,$B31),'League Races Female'!$AQ$8:$BD$86,9,FALSE),"")</f>
      </c>
      <c r="S31" s="102">
        <f>IF($B31&lt;'League Races Female'!$BB$100+1,VLOOKUP(CONCATENATE($L$6,$B31),'League Races Female'!$AQ$8:$BD$86,10,FALSE),"")</f>
        <v>62.70265572639788</v>
      </c>
      <c r="T31" s="20"/>
      <c r="U31" s="20"/>
      <c r="V31" s="20"/>
      <c r="W31" s="20"/>
      <c r="X31" s="20"/>
    </row>
    <row r="32" spans="1:24" ht="16.5">
      <c r="A32" s="20"/>
      <c r="B32" s="67">
        <f t="shared" si="0"/>
        <v>24</v>
      </c>
      <c r="C32" s="97" t="str">
        <f>IF($B32&lt;'League Races Male'!$BB$100+1,VLOOKUP(CONCATENATE($C$6,$B32),'League Races Male'!$AQ$8:$BD$86,13,FALSE),"")</f>
        <v>Danny Evans</v>
      </c>
      <c r="D32" s="97">
        <f>IF($B32&lt;'League Races Male'!$BB$100+1,VLOOKUP(CONCATENATE($C$6,$B32),'League Races Male'!$AQ$8:$BD$86,14,FALSE),"")</f>
        <v>30</v>
      </c>
      <c r="E32" s="97" t="str">
        <f>IF($B32&lt;'League Races Male'!$BB$100+1,VLOOKUP(CONCATENATE($C$6,$B32),'League Races Male'!$AQ$8:$BD$86,11,FALSE),"")</f>
        <v>NQ</v>
      </c>
      <c r="F32" s="98">
        <f>IF($B32&lt;'League Races Male'!$BB$100+1,VLOOKUP(CONCATENATE($C$6,$B32),'League Races Male'!$AQ$8:$BD$86,6,FALSE),"")</f>
        <v>80.22657054582902</v>
      </c>
      <c r="G32" s="98">
        <f>IF($B32&lt;'League Races Male'!$BB$100+1,VLOOKUP(CONCATENATE($C$6,$B32),'League Races Male'!$AQ$8:$BD$86,7,FALSE),"")</f>
        <v>0</v>
      </c>
      <c r="H32" s="98">
        <f>IF($B32&lt;'League Races Male'!$BB$100+1,VLOOKUP(CONCATENATE($C$6,$B32),'League Races Male'!$AQ$8:$BD$86,8,FALSE),"")</f>
        <v>0</v>
      </c>
      <c r="I32" s="98">
        <f>IF($B32&lt;'League Races Male'!$BB$100+1,VLOOKUP(CONCATENATE($C$6,$B32),'League Races Male'!$AQ$8:$BD$86,9,FALSE),"")</f>
      </c>
      <c r="J32" s="99">
        <f>IF($B32&lt;'League Races Male'!$BB$100+1,VLOOKUP(CONCATENATE($C$6,$B32),'League Races Male'!$AQ$8:$BD$86,10,FALSE),"")</f>
        <v>80.22657054582902</v>
      </c>
      <c r="K32" s="141"/>
      <c r="L32" s="97" t="str">
        <f>IF($B32&lt;'League Races Female'!$BB$100+1,VLOOKUP(CONCATENATE($L$6,$B32),'League Races Female'!$AQ$8:$BD$86,13,FALSE),"")</f>
        <v>Gwen Clements</v>
      </c>
      <c r="M32" s="97">
        <f>IF($B32&lt;'League Races Female'!$BB$100+1,VLOOKUP(CONCATENATE($L$6,$B32),'League Races Female'!$AQ$8:$BD$86,14,FALSE),"")</f>
        <v>34</v>
      </c>
      <c r="N32" s="97" t="str">
        <f>IF($B32&lt;'League Races Female'!$BB$100+1,VLOOKUP(CONCATENATE($L$6,$B32),'League Races Female'!$AQ$8:$BD$86,11,FALSE),"")</f>
        <v>NQ</v>
      </c>
      <c r="O32" s="98">
        <f>IF($B32&lt;'League Races Female'!$BB$100+1,VLOOKUP(CONCATENATE($L$6,$B32),'League Races Female'!$AQ$8:$BD$86,6,FALSE),"")</f>
        <v>0</v>
      </c>
      <c r="P32" s="98">
        <f>IF($B32&lt;'League Races Female'!$BB$100+1,VLOOKUP(CONCATENATE($L$6,$B32),'League Races Female'!$AQ$8:$BD$86,7,FALSE),"")</f>
        <v>0</v>
      </c>
      <c r="Q32" s="98">
        <f>IF($B32&lt;'League Races Female'!$BB$100+1,VLOOKUP(CONCATENATE($L$6,$B32),'League Races Female'!$AQ$8:$BD$86,8,FALSE),"")</f>
        <v>61.41420844304205</v>
      </c>
      <c r="R32" s="98">
        <f>IF($B32&lt;'League Races Female'!$BB$100+1,VLOOKUP(CONCATENATE($L$6,$B32),'League Races Female'!$AQ$8:$BD$86,9,FALSE),"")</f>
      </c>
      <c r="S32" s="102">
        <f>IF($B32&lt;'League Races Female'!$BB$100+1,VLOOKUP(CONCATENATE($L$6,$B32),'League Races Female'!$AQ$8:$BD$86,10,FALSE),"")</f>
        <v>61.41420844304205</v>
      </c>
      <c r="T32" s="20"/>
      <c r="U32" s="20"/>
      <c r="V32" s="20"/>
      <c r="W32" s="20"/>
      <c r="X32" s="20"/>
    </row>
    <row r="33" spans="1:24" ht="16.5">
      <c r="A33" s="20"/>
      <c r="B33" s="67">
        <f t="shared" si="0"/>
        <v>25</v>
      </c>
      <c r="C33" s="97" t="str">
        <f>IF($B33&lt;'League Races Male'!$BB$100+1,VLOOKUP(CONCATENATE($C$6,$B33),'League Races Male'!$AQ$8:$BD$86,13,FALSE),"")</f>
        <v>Geoff Oldrid</v>
      </c>
      <c r="D33" s="97">
        <f>IF($B33&lt;'League Races Male'!$BB$100+1,VLOOKUP(CONCATENATE($C$6,$B33),'League Races Male'!$AQ$8:$BD$86,14,FALSE),"")</f>
        <v>53</v>
      </c>
      <c r="E33" s="97" t="str">
        <f>IF($B33&lt;'League Races Male'!$BB$100+1,VLOOKUP(CONCATENATE($C$6,$B33),'League Races Male'!$AQ$8:$BD$86,11,FALSE),"")</f>
        <v>NQ</v>
      </c>
      <c r="F33" s="98">
        <f>IF($B33&lt;'League Races Male'!$BB$100+1,VLOOKUP(CONCATENATE($C$6,$B33),'League Races Male'!$AQ$8:$BD$86,6,FALSE),"")</f>
        <v>0</v>
      </c>
      <c r="G33" s="98">
        <f>IF($B33&lt;'League Races Male'!$BB$100+1,VLOOKUP(CONCATENATE($C$6,$B33),'League Races Male'!$AQ$8:$BD$86,7,FALSE),"")</f>
        <v>0</v>
      </c>
      <c r="H33" s="98">
        <f>IF($B33&lt;'League Races Male'!$BB$100+1,VLOOKUP(CONCATENATE($C$6,$B33),'League Races Male'!$AQ$8:$BD$86,8,FALSE),"")</f>
        <v>74.75537531086867</v>
      </c>
      <c r="I33" s="98">
        <f>IF($B33&lt;'League Races Male'!$BB$100+1,VLOOKUP(CONCATENATE($C$6,$B33),'League Races Male'!$AQ$8:$BD$86,9,FALSE),"")</f>
      </c>
      <c r="J33" s="99">
        <f>IF($B33&lt;'League Races Male'!$BB$100+1,VLOOKUP(CONCATENATE($C$6,$B33),'League Races Male'!$AQ$8:$BD$86,10,FALSE),"")</f>
        <v>74.75537531086867</v>
      </c>
      <c r="K33" s="141"/>
      <c r="L33" s="97" t="str">
        <f>IF($B33&lt;'League Races Female'!$BB$100+1,VLOOKUP(CONCATENATE($L$6,$B33),'League Races Female'!$AQ$8:$BD$86,13,FALSE),"")</f>
        <v>Rosemary Reese</v>
      </c>
      <c r="M33" s="97">
        <f>IF($B33&lt;'League Races Female'!$BB$100+1,VLOOKUP(CONCATENATE($L$6,$B33),'League Races Female'!$AQ$8:$BD$86,14,FALSE),"")</f>
        <v>53</v>
      </c>
      <c r="N33" s="97" t="str">
        <f>IF($B33&lt;'League Races Female'!$BB$100+1,VLOOKUP(CONCATENATE($L$6,$B33),'League Races Female'!$AQ$8:$BD$86,11,FALSE),"")</f>
        <v>NQ</v>
      </c>
      <c r="O33" s="98">
        <f>IF($B33&lt;'League Races Female'!$BB$100+1,VLOOKUP(CONCATENATE($L$6,$B33),'League Races Female'!$AQ$8:$BD$86,6,FALSE),"")</f>
        <v>0</v>
      </c>
      <c r="P33" s="98">
        <f>IF($B33&lt;'League Races Female'!$BB$100+1,VLOOKUP(CONCATENATE($L$6,$B33),'League Races Female'!$AQ$8:$BD$86,7,FALSE),"")</f>
        <v>60.29302144558126</v>
      </c>
      <c r="Q33" s="98">
        <f>IF($B33&lt;'League Races Female'!$BB$100+1,VLOOKUP(CONCATENATE($L$6,$B33),'League Races Female'!$AQ$8:$BD$86,8,FALSE),"")</f>
        <v>0</v>
      </c>
      <c r="R33" s="98">
        <f>IF($B33&lt;'League Races Female'!$BB$100+1,VLOOKUP(CONCATENATE($L$6,$B33),'League Races Female'!$AQ$8:$BD$86,9,FALSE),"")</f>
      </c>
      <c r="S33" s="102">
        <f>IF($B33&lt;'League Races Female'!$BB$100+1,VLOOKUP(CONCATENATE($L$6,$B33),'League Races Female'!$AQ$8:$BD$86,10,FALSE),"")</f>
        <v>60.29302144558126</v>
      </c>
      <c r="T33" s="20"/>
      <c r="U33" s="20"/>
      <c r="V33" s="20"/>
      <c r="W33" s="20"/>
      <c r="X33" s="20"/>
    </row>
    <row r="34" spans="1:24" ht="16.5">
      <c r="A34" s="20"/>
      <c r="B34" s="67">
        <f aca="true" t="shared" si="1" ref="B34:B46">B33+1</f>
        <v>26</v>
      </c>
      <c r="C34" s="97" t="str">
        <f>IF($B34&lt;'League Races Male'!$BB$100+1,VLOOKUP(CONCATENATE($C$6,$B34),'League Races Male'!$AQ$8:$BD$86,13,FALSE),"")</f>
        <v>Stephen King</v>
      </c>
      <c r="D34" s="97">
        <f>IF($B34&lt;'League Races Male'!$BB$100+1,VLOOKUP(CONCATENATE($C$6,$B34),'League Races Male'!$AQ$8:$BD$86,14,FALSE),"")</f>
        <v>34</v>
      </c>
      <c r="E34" s="97" t="str">
        <f>IF($B34&lt;'League Races Male'!$BB$100+1,VLOOKUP(CONCATENATE($C$6,$B34),'League Races Male'!$AQ$8:$BD$86,11,FALSE),"")</f>
        <v>NQ</v>
      </c>
      <c r="F34" s="98">
        <f>IF($B34&lt;'League Races Male'!$BB$100+1,VLOOKUP(CONCATENATE($C$6,$B34),'League Races Male'!$AQ$8:$BD$86,6,FALSE),"")</f>
        <v>0</v>
      </c>
      <c r="G34" s="98">
        <f>IF($B34&lt;'League Races Male'!$BB$100+1,VLOOKUP(CONCATENATE($C$6,$B34),'League Races Male'!$AQ$8:$BD$86,7,FALSE),"")</f>
        <v>73.72437920291975</v>
      </c>
      <c r="H34" s="98">
        <f>IF($B34&lt;'League Races Male'!$BB$100+1,VLOOKUP(CONCATENATE($C$6,$B34),'League Races Male'!$AQ$8:$BD$86,8,FALSE),"")</f>
        <v>0</v>
      </c>
      <c r="I34" s="98">
        <f>IF($B34&lt;'League Races Male'!$BB$100+1,VLOOKUP(CONCATENATE($C$6,$B34),'League Races Male'!$AQ$8:$BD$86,9,FALSE),"")</f>
      </c>
      <c r="J34" s="99">
        <f>IF($B34&lt;'League Races Male'!$BB$100+1,VLOOKUP(CONCATENATE($C$6,$B34),'League Races Male'!$AQ$8:$BD$86,10,FALSE),"")</f>
        <v>73.72437920291975</v>
      </c>
      <c r="K34" s="141"/>
      <c r="L34" s="97" t="str">
        <f>IF($B34&lt;'League Races Female'!$BB$100+1,VLOOKUP(CONCATENATE($L$6,$B34),'League Races Female'!$AQ$8:$BD$86,13,FALSE),"")</f>
        <v>Lynnette Peck</v>
      </c>
      <c r="M34" s="97">
        <f>IF($B34&lt;'League Races Female'!$BB$100+1,VLOOKUP(CONCATENATE($L$6,$B34),'League Races Female'!$AQ$8:$BD$86,14,FALSE),"")</f>
        <v>30</v>
      </c>
      <c r="N34" s="97" t="str">
        <f>IF($B34&lt;'League Races Female'!$BB$100+1,VLOOKUP(CONCATENATE($L$6,$B34),'League Races Female'!$AQ$8:$BD$86,11,FALSE),"")</f>
        <v>NQ</v>
      </c>
      <c r="O34" s="98">
        <f>IF($B34&lt;'League Races Female'!$BB$100+1,VLOOKUP(CONCATENATE($L$6,$B34),'League Races Female'!$AQ$8:$BD$86,6,FALSE),"")</f>
        <v>59.543010752688176</v>
      </c>
      <c r="P34" s="98">
        <f>IF($B34&lt;'League Races Female'!$BB$100+1,VLOOKUP(CONCATENATE($L$6,$B34),'League Races Female'!$AQ$8:$BD$86,7,FALSE),"")</f>
        <v>0</v>
      </c>
      <c r="Q34" s="98">
        <f>IF($B34&lt;'League Races Female'!$BB$100+1,VLOOKUP(CONCATENATE($L$6,$B34),'League Races Female'!$AQ$8:$BD$86,8,FALSE),"")</f>
        <v>0</v>
      </c>
      <c r="R34" s="98">
        <f>IF($B34&lt;'League Races Female'!$BB$100+1,VLOOKUP(CONCATENATE($L$6,$B34),'League Races Female'!$AQ$8:$BD$86,9,FALSE),"")</f>
      </c>
      <c r="S34" s="102">
        <f>IF($B34&lt;'League Races Female'!$BB$100+1,VLOOKUP(CONCATENATE($L$6,$B34),'League Races Female'!$AQ$8:$BD$86,10,FALSE),"")</f>
        <v>59.543010752688176</v>
      </c>
      <c r="T34" s="20"/>
      <c r="U34" s="20"/>
      <c r="V34" s="20"/>
      <c r="W34" s="20"/>
      <c r="X34" s="20"/>
    </row>
    <row r="35" spans="1:24" ht="16.5">
      <c r="A35" s="20"/>
      <c r="B35" s="67">
        <f t="shared" si="1"/>
        <v>27</v>
      </c>
      <c r="C35" s="97" t="str">
        <f>IF($B35&lt;'League Races Male'!$BB$100+1,VLOOKUP(CONCATENATE($C$6,$B35),'League Races Male'!$AQ$8:$BD$86,13,FALSE),"")</f>
        <v>Geraint Evans</v>
      </c>
      <c r="D35" s="97">
        <f>IF($B35&lt;'League Races Male'!$BB$100+1,VLOOKUP(CONCATENATE($C$6,$B35),'League Races Male'!$AQ$8:$BD$86,14,FALSE),"")</f>
        <v>46</v>
      </c>
      <c r="E35" s="97" t="str">
        <f>IF($B35&lt;'League Races Male'!$BB$100+1,VLOOKUP(CONCATENATE($C$6,$B35),'League Races Male'!$AQ$8:$BD$86,11,FALSE),"")</f>
        <v>NQ</v>
      </c>
      <c r="F35" s="98">
        <f>IF($B35&lt;'League Races Male'!$BB$100+1,VLOOKUP(CONCATENATE($C$6,$B35),'League Races Male'!$AQ$8:$BD$86,6,FALSE),"")</f>
        <v>0</v>
      </c>
      <c r="G35" s="98">
        <f>IF($B35&lt;'League Races Male'!$BB$100+1,VLOOKUP(CONCATENATE($C$6,$B35),'League Races Male'!$AQ$8:$BD$86,7,FALSE),"")</f>
        <v>72.71150396737619</v>
      </c>
      <c r="H35" s="98">
        <f>IF($B35&lt;'League Races Male'!$BB$100+1,VLOOKUP(CONCATENATE($C$6,$B35),'League Races Male'!$AQ$8:$BD$86,8,FALSE),"")</f>
        <v>0</v>
      </c>
      <c r="I35" s="98">
        <f>IF($B35&lt;'League Races Male'!$BB$100+1,VLOOKUP(CONCATENATE($C$6,$B35),'League Races Male'!$AQ$8:$BD$86,9,FALSE),"")</f>
      </c>
      <c r="J35" s="99">
        <f>IF($B35&lt;'League Races Male'!$BB$100+1,VLOOKUP(CONCATENATE($C$6,$B35),'League Races Male'!$AQ$8:$BD$86,10,FALSE),"")</f>
        <v>72.71150396737619</v>
      </c>
      <c r="K35" s="141"/>
      <c r="L35" s="97" t="str">
        <f>IF($B35&lt;'League Races Female'!$BB$100+1,VLOOKUP(CONCATENATE($L$6,$B35),'League Races Female'!$AQ$8:$BD$86,13,FALSE),"")</f>
        <v>Shari James</v>
      </c>
      <c r="M35" s="97">
        <f>IF($B35&lt;'League Races Female'!$BB$100+1,VLOOKUP(CONCATENATE($L$6,$B35),'League Races Female'!$AQ$8:$BD$86,14,FALSE),"")</f>
        <v>30</v>
      </c>
      <c r="N35" s="97" t="str">
        <f>IF($B35&lt;'League Races Female'!$BB$100+1,VLOOKUP(CONCATENATE($L$6,$B35),'League Races Female'!$AQ$8:$BD$86,11,FALSE),"")</f>
        <v>NQ</v>
      </c>
      <c r="O35" s="98">
        <f>IF($B35&lt;'League Races Female'!$BB$100+1,VLOOKUP(CONCATENATE($L$6,$B35),'League Races Female'!$AQ$8:$BD$86,6,FALSE),"")</f>
        <v>58.597883597883595</v>
      </c>
      <c r="P35" s="98">
        <f>IF($B35&lt;'League Races Female'!$BB$100+1,VLOOKUP(CONCATENATE($L$6,$B35),'League Races Female'!$AQ$8:$BD$86,7,FALSE),"")</f>
        <v>0</v>
      </c>
      <c r="Q35" s="98">
        <f>IF($B35&lt;'League Races Female'!$BB$100+1,VLOOKUP(CONCATENATE($L$6,$B35),'League Races Female'!$AQ$8:$BD$86,8,FALSE),"")</f>
        <v>0</v>
      </c>
      <c r="R35" s="98">
        <f>IF($B35&lt;'League Races Female'!$BB$100+1,VLOOKUP(CONCATENATE($L$6,$B35),'League Races Female'!$AQ$8:$BD$86,9,FALSE),"")</f>
      </c>
      <c r="S35" s="102">
        <f>IF($B35&lt;'League Races Female'!$BB$100+1,VLOOKUP(CONCATENATE($L$6,$B35),'League Races Female'!$AQ$8:$BD$86,10,FALSE),"")</f>
        <v>58.597883597883595</v>
      </c>
      <c r="T35" s="20"/>
      <c r="U35" s="20"/>
      <c r="V35" s="20"/>
      <c r="W35" s="20"/>
      <c r="X35" s="20"/>
    </row>
    <row r="36" spans="1:24" ht="16.5">
      <c r="A36" s="20"/>
      <c r="B36" s="67">
        <f t="shared" si="1"/>
        <v>28</v>
      </c>
      <c r="C36" s="97" t="str">
        <f>IF($B36&lt;'League Races Male'!$BB$100+1,VLOOKUP(CONCATENATE($C$6,$B36),'League Races Male'!$AQ$8:$BD$86,13,FALSE),"")</f>
        <v>Jos Jones</v>
      </c>
      <c r="D36" s="97">
        <f>IF($B36&lt;'League Races Male'!$BB$100+1,VLOOKUP(CONCATENATE($C$6,$B36),'League Races Male'!$AQ$8:$BD$86,14,FALSE),"")</f>
        <v>31</v>
      </c>
      <c r="E36" s="97" t="str">
        <f>IF($B36&lt;'League Races Male'!$BB$100+1,VLOOKUP(CONCATENATE($C$6,$B36),'League Races Male'!$AQ$8:$BD$86,11,FALSE),"")</f>
        <v>NQ</v>
      </c>
      <c r="F36" s="98">
        <f>IF($B36&lt;'League Races Male'!$BB$100+1,VLOOKUP(CONCATENATE($C$6,$B36),'League Races Male'!$AQ$8:$BD$86,6,FALSE),"")</f>
        <v>65.54880293497078</v>
      </c>
      <c r="G36" s="98">
        <f>IF($B36&lt;'League Races Male'!$BB$100+1,VLOOKUP(CONCATENATE($C$6,$B36),'League Races Male'!$AQ$8:$BD$86,7,FALSE),"")</f>
        <v>0</v>
      </c>
      <c r="H36" s="98">
        <f>IF($B36&lt;'League Races Male'!$BB$100+1,VLOOKUP(CONCATENATE($C$6,$B36),'League Races Male'!$AQ$8:$BD$86,8,FALSE),"")</f>
        <v>0</v>
      </c>
      <c r="I36" s="98">
        <f>IF($B36&lt;'League Races Male'!$BB$100+1,VLOOKUP(CONCATENATE($C$6,$B36),'League Races Male'!$AQ$8:$BD$86,9,FALSE),"")</f>
      </c>
      <c r="J36" s="99">
        <f>IF($B36&lt;'League Races Male'!$BB$100+1,VLOOKUP(CONCATENATE($C$6,$B36),'League Races Male'!$AQ$8:$BD$86,10,FALSE),"")</f>
        <v>65.54880293497078</v>
      </c>
      <c r="K36" s="141"/>
      <c r="L36" s="97" t="str">
        <f>IF($B36&lt;'League Races Female'!$BB$100+1,VLOOKUP(CONCATENATE($L$6,$B36),'League Races Female'!$AQ$8:$BD$86,13,FALSE),"")</f>
        <v>Hayley Revell</v>
      </c>
      <c r="M36" s="97">
        <f>IF($B36&lt;'League Races Female'!$BB$100+1,VLOOKUP(CONCATENATE($L$6,$B36),'League Races Female'!$AQ$8:$BD$86,14,FALSE),"")</f>
        <v>40</v>
      </c>
      <c r="N36" s="97" t="str">
        <f>IF($B36&lt;'League Races Female'!$BB$100+1,VLOOKUP(CONCATENATE($L$6,$B36),'League Races Female'!$AQ$8:$BD$86,11,FALSE),"")</f>
        <v>NQ</v>
      </c>
      <c r="O36" s="98">
        <f>IF($B36&lt;'League Races Female'!$BB$100+1,VLOOKUP(CONCATENATE($L$6,$B36),'League Races Female'!$AQ$8:$BD$86,6,FALSE),"")</f>
        <v>53.22456778767458</v>
      </c>
      <c r="P36" s="98">
        <f>IF($B36&lt;'League Races Female'!$BB$100+1,VLOOKUP(CONCATENATE($L$6,$B36),'League Races Female'!$AQ$8:$BD$86,7,FALSE),"")</f>
        <v>0</v>
      </c>
      <c r="Q36" s="98">
        <f>IF($B36&lt;'League Races Female'!$BB$100+1,VLOOKUP(CONCATENATE($L$6,$B36),'League Races Female'!$AQ$8:$BD$86,8,FALSE),"")</f>
        <v>0</v>
      </c>
      <c r="R36" s="98">
        <f>IF($B36&lt;'League Races Female'!$BB$100+1,VLOOKUP(CONCATENATE($L$6,$B36),'League Races Female'!$AQ$8:$BD$86,9,FALSE),"")</f>
      </c>
      <c r="S36" s="102">
        <f>IF($B36&lt;'League Races Female'!$BB$100+1,VLOOKUP(CONCATENATE($L$6,$B36),'League Races Female'!$AQ$8:$BD$86,10,FALSE),"")</f>
        <v>53.22456778767458</v>
      </c>
      <c r="T36" s="20"/>
      <c r="U36" s="20"/>
      <c r="V36" s="20"/>
      <c r="W36" s="20"/>
      <c r="X36" s="20"/>
    </row>
    <row r="37" spans="1:24" ht="16.5">
      <c r="A37" s="20"/>
      <c r="B37" s="67">
        <f t="shared" si="1"/>
        <v>29</v>
      </c>
      <c r="C37" s="97" t="str">
        <f>IF($B37&lt;'League Races Male'!$BB$100+1,VLOOKUP(CONCATENATE($C$6,$B37),'League Races Male'!$AQ$8:$BD$86,13,FALSE),"")</f>
        <v>Tomos Hywel</v>
      </c>
      <c r="D37" s="97">
        <f>IF($B37&lt;'League Races Male'!$BB$100+1,VLOOKUP(CONCATENATE($C$6,$B37),'League Races Male'!$AQ$8:$BD$86,14,FALSE),"")</f>
        <v>30</v>
      </c>
      <c r="E37" s="97" t="str">
        <f>IF($B37&lt;'League Races Male'!$BB$100+1,VLOOKUP(CONCATENATE($C$6,$B37),'League Races Male'!$AQ$8:$BD$86,11,FALSE),"")</f>
        <v>NQ</v>
      </c>
      <c r="F37" s="98">
        <f>IF($B37&lt;'League Races Male'!$BB$100+1,VLOOKUP(CONCATENATE($C$6,$B37),'League Races Male'!$AQ$8:$BD$86,6,FALSE),"")</f>
        <v>65.46218487394958</v>
      </c>
      <c r="G37" s="98">
        <f>IF($B37&lt;'League Races Male'!$BB$100+1,VLOOKUP(CONCATENATE($C$6,$B37),'League Races Male'!$AQ$8:$BD$86,7,FALSE),"")</f>
        <v>0</v>
      </c>
      <c r="H37" s="98">
        <f>IF($B37&lt;'League Races Male'!$BB$100+1,VLOOKUP(CONCATENATE($C$6,$B37),'League Races Male'!$AQ$8:$BD$86,8,FALSE),"")</f>
        <v>0</v>
      </c>
      <c r="I37" s="98">
        <f>IF($B37&lt;'League Races Male'!$BB$100+1,VLOOKUP(CONCATENATE($C$6,$B37),'League Races Male'!$AQ$8:$BD$86,9,FALSE),"")</f>
      </c>
      <c r="J37" s="99">
        <f>IF($B37&lt;'League Races Male'!$BB$100+1,VLOOKUP(CONCATENATE($C$6,$B37),'League Races Male'!$AQ$8:$BD$86,10,FALSE),"")</f>
        <v>65.46218487394958</v>
      </c>
      <c r="K37" s="141"/>
      <c r="L37" s="97" t="str">
        <f>IF($B37&lt;'League Races Female'!$BB$100+1,VLOOKUP(CONCATENATE($L$6,$B37),'League Races Female'!$AQ$8:$BD$86,13,FALSE),"")</f>
        <v>Sue Ginley</v>
      </c>
      <c r="M37" s="97">
        <f>IF($B37&lt;'League Races Female'!$BB$100+1,VLOOKUP(CONCATENATE($L$6,$B37),'League Races Female'!$AQ$8:$BD$86,14,FALSE),"")</f>
        <v>45</v>
      </c>
      <c r="N37" s="97" t="str">
        <f>IF($B37&lt;'League Races Female'!$BB$100+1,VLOOKUP(CONCATENATE($L$6,$B37),'League Races Female'!$AQ$8:$BD$86,11,FALSE),"")</f>
        <v>NQ</v>
      </c>
      <c r="O37" s="98">
        <f>IF($B37&lt;'League Races Female'!$BB$100+1,VLOOKUP(CONCATENATE($L$6,$B37),'League Races Female'!$AQ$8:$BD$86,6,FALSE),"")</f>
        <v>0</v>
      </c>
      <c r="P37" s="98">
        <f>IF($B37&lt;'League Races Female'!$BB$100+1,VLOOKUP(CONCATENATE($L$6,$B37),'League Races Female'!$AQ$8:$BD$86,7,FALSE),"")</f>
        <v>51.14526360025443</v>
      </c>
      <c r="Q37" s="98">
        <f>IF($B37&lt;'League Races Female'!$BB$100+1,VLOOKUP(CONCATENATE($L$6,$B37),'League Races Female'!$AQ$8:$BD$86,8,FALSE),"")</f>
        <v>0</v>
      </c>
      <c r="R37" s="98">
        <f>IF($B37&lt;'League Races Female'!$BB$100+1,VLOOKUP(CONCATENATE($L$6,$B37),'League Races Female'!$AQ$8:$BD$86,9,FALSE),"")</f>
      </c>
      <c r="S37" s="102">
        <f>IF($B37&lt;'League Races Female'!$BB$100+1,VLOOKUP(CONCATENATE($L$6,$B37),'League Races Female'!$AQ$8:$BD$86,10,FALSE),"")</f>
        <v>51.14526360025443</v>
      </c>
      <c r="T37" s="20"/>
      <c r="U37" s="20"/>
      <c r="V37" s="20"/>
      <c r="W37" s="20"/>
      <c r="X37" s="20"/>
    </row>
    <row r="38" spans="1:24" ht="16.5">
      <c r="A38" s="20"/>
      <c r="B38" s="67">
        <f t="shared" si="1"/>
        <v>30</v>
      </c>
      <c r="C38" s="97" t="str">
        <f>IF($B38&lt;'League Races Male'!$BB$100+1,VLOOKUP(CONCATENATE($C$6,$B38),'League Races Male'!$AQ$8:$BD$86,13,FALSE),"")</f>
        <v>Peter Garson</v>
      </c>
      <c r="D38" s="97">
        <f>IF($B38&lt;'League Races Male'!$BB$100+1,VLOOKUP(CONCATENATE($C$6,$B38),'League Races Male'!$AQ$8:$BD$86,14,FALSE),"")</f>
        <v>42</v>
      </c>
      <c r="E38" s="97" t="str">
        <f>IF($B38&lt;'League Races Male'!$BB$100+1,VLOOKUP(CONCATENATE($C$6,$B38),'League Races Male'!$AQ$8:$BD$86,11,FALSE),"")</f>
        <v>NQ</v>
      </c>
      <c r="F38" s="98">
        <f>IF($B38&lt;'League Races Male'!$BB$100+1,VLOOKUP(CONCATENATE($C$6,$B38),'League Races Male'!$AQ$8:$BD$86,6,FALSE),"")</f>
        <v>64.91347508747486</v>
      </c>
      <c r="G38" s="98">
        <f>IF($B38&lt;'League Races Male'!$BB$100+1,VLOOKUP(CONCATENATE($C$6,$B38),'League Races Male'!$AQ$8:$BD$86,7,FALSE),"")</f>
        <v>0</v>
      </c>
      <c r="H38" s="98">
        <f>IF($B38&lt;'League Races Male'!$BB$100+1,VLOOKUP(CONCATENATE($C$6,$B38),'League Races Male'!$AQ$8:$BD$86,8,FALSE),"")</f>
        <v>0</v>
      </c>
      <c r="I38" s="98">
        <f>IF($B38&lt;'League Races Male'!$BB$100+1,VLOOKUP(CONCATENATE($C$6,$B38),'League Races Male'!$AQ$8:$BD$86,9,FALSE),"")</f>
      </c>
      <c r="J38" s="99">
        <f>IF($B38&lt;'League Races Male'!$BB$100+1,VLOOKUP(CONCATENATE($C$6,$B38),'League Races Male'!$AQ$8:$BD$86,10,FALSE),"")</f>
        <v>64.91347508747486</v>
      </c>
      <c r="K38" s="141"/>
      <c r="L38" s="97" t="str">
        <f>IF($B38&lt;'League Races Female'!$BB$100+1,VLOOKUP(CONCATENATE($L$6,$B38),'League Races Female'!$AQ$8:$BD$86,13,FALSE),"")</f>
        <v>Tina Hansen</v>
      </c>
      <c r="M38" s="97">
        <f>IF($B38&lt;'League Races Female'!$BB$100+1,VLOOKUP(CONCATENATE($L$6,$B38),'League Races Female'!$AQ$8:$BD$86,14,FALSE),"")</f>
        <v>54</v>
      </c>
      <c r="N38" s="97" t="str">
        <f>IF($B38&lt;'League Races Female'!$BB$100+1,VLOOKUP(CONCATENATE($L$6,$B38),'League Races Female'!$AQ$8:$BD$86,11,FALSE),"")</f>
        <v>NQ</v>
      </c>
      <c r="O38" s="98">
        <f>IF($B38&lt;'League Races Female'!$BB$100+1,VLOOKUP(CONCATENATE($L$6,$B38),'League Races Female'!$AQ$8:$BD$86,6,FALSE),"")</f>
        <v>0</v>
      </c>
      <c r="P38" s="98">
        <f>IF($B38&lt;'League Races Female'!$BB$100+1,VLOOKUP(CONCATENATE($L$6,$B38),'League Races Female'!$AQ$8:$BD$86,7,FALSE),"")</f>
        <v>0</v>
      </c>
      <c r="Q38" s="98">
        <f>IF($B38&lt;'League Races Female'!$BB$100+1,VLOOKUP(CONCATENATE($L$6,$B38),'League Races Female'!$AQ$8:$BD$86,8,FALSE),"")</f>
        <v>46.76147821866799</v>
      </c>
      <c r="R38" s="98">
        <f>IF($B38&lt;'League Races Female'!$BB$100+1,VLOOKUP(CONCATENATE($L$6,$B38),'League Races Female'!$AQ$8:$BD$86,9,FALSE),"")</f>
      </c>
      <c r="S38" s="102">
        <f>IF($B38&lt;'League Races Female'!$BB$100+1,VLOOKUP(CONCATENATE($L$6,$B38),'League Races Female'!$AQ$8:$BD$86,10,FALSE),"")</f>
        <v>46.76147821866799</v>
      </c>
      <c r="T38" s="20"/>
      <c r="U38" s="20"/>
      <c r="V38" s="20"/>
      <c r="W38" s="20"/>
      <c r="X38" s="20"/>
    </row>
    <row r="39" spans="1:24" ht="16.5">
      <c r="A39" s="20"/>
      <c r="B39" s="67">
        <f t="shared" si="1"/>
        <v>31</v>
      </c>
      <c r="C39" s="97">
        <f>IF($B39&lt;'League Races Male'!$BB$100+1,VLOOKUP(CONCATENATE($C$6,$B39),'League Races Male'!$AQ$8:$BD$86,13,FALSE),"")</f>
      </c>
      <c r="D39" s="97">
        <f>IF($B39&lt;'League Races Male'!$BB$100+1,VLOOKUP(CONCATENATE($C$6,$B39),'League Races Male'!$AQ$8:$BD$86,14,FALSE),"")</f>
      </c>
      <c r="E39" s="97">
        <f>IF($B39&lt;'League Races Male'!$BB$100+1,VLOOKUP(CONCATENATE($C$6,$B39),'League Races Male'!$AQ$8:$BD$86,11,FALSE),"")</f>
      </c>
      <c r="F39" s="98">
        <f>IF($B39&lt;'League Races Male'!$BB$100+1,VLOOKUP(CONCATENATE($C$6,$B39),'League Races Male'!$AQ$8:$BD$86,6,FALSE),"")</f>
      </c>
      <c r="G39" s="98">
        <f>IF($B39&lt;'League Races Male'!$BB$100+1,VLOOKUP(CONCATENATE($C$6,$B39),'League Races Male'!$AQ$8:$BD$86,7,FALSE),"")</f>
      </c>
      <c r="H39" s="98">
        <f>IF($B39&lt;'League Races Male'!$BB$100+1,VLOOKUP(CONCATENATE($C$6,$B39),'League Races Male'!$AQ$8:$BD$86,8,FALSE),"")</f>
      </c>
      <c r="I39" s="98">
        <f>IF($B39&lt;'League Races Male'!$BB$100+1,VLOOKUP(CONCATENATE($C$6,$B39),'League Races Male'!$AQ$8:$BD$86,9,FALSE),"")</f>
      </c>
      <c r="J39" s="99">
        <f>IF($B39&lt;'League Races Male'!$BB$100+1,VLOOKUP(CONCATENATE($C$6,$B39),'League Races Male'!$AQ$8:$BD$86,10,FALSE),"")</f>
      </c>
      <c r="K39" s="141"/>
      <c r="L39" s="97">
        <f>IF($B39&lt;'League Races Female'!$BB$100+1,VLOOKUP(CONCATENATE($L$6,$B39),'League Races Female'!$AQ$8:$BD$86,13,FALSE),"")</f>
      </c>
      <c r="M39" s="97">
        <f>IF($B39&lt;'League Races Female'!$BB$100+1,VLOOKUP(CONCATENATE($L$6,$B39),'League Races Female'!$AQ$8:$BD$86,14,FALSE),"")</f>
      </c>
      <c r="N39" s="97">
        <f>IF($B39&lt;'League Races Female'!$BB$100+1,VLOOKUP(CONCATENATE($L$6,$B39),'League Races Female'!$AQ$8:$BD$86,11,FALSE),"")</f>
      </c>
      <c r="O39" s="98">
        <f>IF($B39&lt;'League Races Female'!$BB$100+1,VLOOKUP(CONCATENATE($L$6,$B39),'League Races Female'!$AQ$8:$BD$86,6,FALSE),"")</f>
      </c>
      <c r="P39" s="98">
        <f>IF($B39&lt;'League Races Female'!$BB$100+1,VLOOKUP(CONCATENATE($L$6,$B39),'League Races Female'!$AQ$8:$BD$86,7,FALSE),"")</f>
      </c>
      <c r="Q39" s="98">
        <f>IF($B39&lt;'League Races Female'!$BB$100+1,VLOOKUP(CONCATENATE($L$6,$B39),'League Races Female'!$AQ$8:$BD$86,8,FALSE),"")</f>
      </c>
      <c r="R39" s="98">
        <f>IF($B39&lt;'League Races Female'!$BB$100+1,VLOOKUP(CONCATENATE($L$6,$B39),'League Races Female'!$AQ$8:$BD$86,9,FALSE),"")</f>
      </c>
      <c r="S39" s="102">
        <f>IF($B39&lt;'League Races Female'!$BB$100+1,VLOOKUP(CONCATENATE($L$6,$B39),'League Races Female'!$AQ$8:$BD$86,10,FALSE),"")</f>
      </c>
      <c r="T39" s="20"/>
      <c r="U39" s="20"/>
      <c r="V39" s="20"/>
      <c r="W39" s="20"/>
      <c r="X39" s="20"/>
    </row>
    <row r="40" spans="1:24" ht="16.5">
      <c r="A40" s="20"/>
      <c r="B40" s="67">
        <f t="shared" si="1"/>
        <v>32</v>
      </c>
      <c r="C40" s="97">
        <f>IF($B40&lt;'League Races Male'!$BB$100+1,VLOOKUP(CONCATENATE($C$6,$B40),'League Races Male'!$AQ$8:$BD$86,13,FALSE),"")</f>
      </c>
      <c r="D40" s="97">
        <f>IF($B40&lt;'League Races Male'!$BB$100+1,VLOOKUP(CONCATENATE($C$6,$B40),'League Races Male'!$AQ$8:$BD$86,14,FALSE),"")</f>
      </c>
      <c r="E40" s="97">
        <f>IF($B40&lt;'League Races Male'!$BB$100+1,VLOOKUP(CONCATENATE($C$6,$B40),'League Races Male'!$AQ$8:$BD$86,11,FALSE),"")</f>
      </c>
      <c r="F40" s="98">
        <f>IF($B40&lt;'League Races Male'!$BB$100+1,VLOOKUP(CONCATENATE($C$6,$B40),'League Races Male'!$AQ$8:$BD$86,6,FALSE),"")</f>
      </c>
      <c r="G40" s="98">
        <f>IF($B40&lt;'League Races Male'!$BB$100+1,VLOOKUP(CONCATENATE($C$6,$B40),'League Races Male'!$AQ$8:$BD$86,7,FALSE),"")</f>
      </c>
      <c r="H40" s="98">
        <f>IF($B40&lt;'League Races Male'!$BB$100+1,VLOOKUP(CONCATENATE($C$6,$B40),'League Races Male'!$AQ$8:$BD$86,8,FALSE),"")</f>
      </c>
      <c r="I40" s="98">
        <f>IF($B40&lt;'League Races Male'!$BB$100+1,VLOOKUP(CONCATENATE($C$6,$B40),'League Races Male'!$AQ$8:$BD$86,9,FALSE),"")</f>
      </c>
      <c r="J40" s="99">
        <f>IF($B40&lt;'League Races Male'!$BB$100+1,VLOOKUP(CONCATENATE($C$6,$B40),'League Races Male'!$AQ$8:$BD$86,10,FALSE),"")</f>
      </c>
      <c r="K40" s="141"/>
      <c r="L40" s="97">
        <f>IF($B40&lt;'League Races Female'!$BB$100+1,VLOOKUP(CONCATENATE($L$6,$B40),'League Races Female'!$AQ$8:$BD$86,13,FALSE),"")</f>
      </c>
      <c r="M40" s="97">
        <f>IF($B40&lt;'League Races Female'!$BB$100+1,VLOOKUP(CONCATENATE($L$6,$B40),'League Races Female'!$AQ$8:$BD$86,14,FALSE),"")</f>
      </c>
      <c r="N40" s="97">
        <f>IF($B40&lt;'League Races Female'!$BB$100+1,VLOOKUP(CONCATENATE($L$6,$B40),'League Races Female'!$AQ$8:$BD$86,11,FALSE),"")</f>
      </c>
      <c r="O40" s="98">
        <f>IF($B40&lt;'League Races Female'!$BB$100+1,VLOOKUP(CONCATENATE($L$6,$B40),'League Races Female'!$AQ$8:$BD$86,6,FALSE),"")</f>
      </c>
      <c r="P40" s="98">
        <f>IF($B40&lt;'League Races Female'!$BB$100+1,VLOOKUP(CONCATENATE($L$6,$B40),'League Races Female'!$AQ$8:$BD$86,7,FALSE),"")</f>
      </c>
      <c r="Q40" s="98">
        <f>IF($B40&lt;'League Races Female'!$BB$100+1,VLOOKUP(CONCATENATE($L$6,$B40),'League Races Female'!$AQ$8:$BD$86,8,FALSE),"")</f>
      </c>
      <c r="R40" s="98">
        <f>IF($B40&lt;'League Races Female'!$BB$100+1,VLOOKUP(CONCATENATE($L$6,$B40),'League Races Female'!$AQ$8:$BD$86,9,FALSE),"")</f>
      </c>
      <c r="S40" s="102">
        <f>IF($B40&lt;'League Races Female'!$BB$100+1,VLOOKUP(CONCATENATE($L$6,$B40),'League Races Female'!$AQ$8:$BD$86,10,FALSE),"")</f>
      </c>
      <c r="T40" s="20"/>
      <c r="U40" s="20"/>
      <c r="V40" s="20"/>
      <c r="W40" s="20"/>
      <c r="X40" s="20"/>
    </row>
    <row r="41" spans="1:24" ht="16.5">
      <c r="A41" s="20"/>
      <c r="B41" s="67">
        <f t="shared" si="1"/>
        <v>33</v>
      </c>
      <c r="C41" s="97">
        <f>IF($B41&lt;'League Races Male'!$BB$100+1,VLOOKUP(CONCATENATE($C$6,$B41),'League Races Male'!$AQ$8:$BD$86,13,FALSE),"")</f>
      </c>
      <c r="D41" s="97">
        <f>IF($B41&lt;'League Races Male'!$BB$100+1,VLOOKUP(CONCATENATE($C$6,$B41),'League Races Male'!$AQ$8:$BD$86,14,FALSE),"")</f>
      </c>
      <c r="E41" s="97">
        <f>IF($B41&lt;'League Races Male'!$BB$100+1,VLOOKUP(CONCATENATE($C$6,$B41),'League Races Male'!$AQ$8:$BD$86,11,FALSE),"")</f>
      </c>
      <c r="F41" s="98">
        <f>IF($B41&lt;'League Races Male'!$BB$100+1,VLOOKUP(CONCATENATE($C$6,$B41),'League Races Male'!$AQ$8:$BD$86,6,FALSE),"")</f>
      </c>
      <c r="G41" s="98">
        <f>IF($B41&lt;'League Races Male'!$BB$100+1,VLOOKUP(CONCATENATE($C$6,$B41),'League Races Male'!$AQ$8:$BD$86,7,FALSE),"")</f>
      </c>
      <c r="H41" s="98">
        <f>IF($B41&lt;'League Races Male'!$BB$100+1,VLOOKUP(CONCATENATE($C$6,$B41),'League Races Male'!$AQ$8:$BD$86,8,FALSE),"")</f>
      </c>
      <c r="I41" s="98">
        <f>IF($B41&lt;'League Races Male'!$BB$100+1,VLOOKUP(CONCATENATE($C$6,$B41),'League Races Male'!$AQ$8:$BD$86,9,FALSE),"")</f>
      </c>
      <c r="J41" s="99">
        <f>IF($B41&lt;'League Races Male'!$BB$100+1,VLOOKUP(CONCATENATE($C$6,$B41),'League Races Male'!$AQ$8:$BD$86,10,FALSE),"")</f>
      </c>
      <c r="K41" s="141"/>
      <c r="L41" s="97">
        <f>IF($B41&lt;'League Races Female'!$BB$100+1,VLOOKUP(CONCATENATE($L$6,$B41),'League Races Female'!$AQ$8:$BD$86,13,FALSE),"")</f>
      </c>
      <c r="M41" s="97">
        <f>IF($B41&lt;'League Races Female'!$BB$100+1,VLOOKUP(CONCATENATE($L$6,$B41),'League Races Female'!$AQ$8:$BD$86,14,FALSE),"")</f>
      </c>
      <c r="N41" s="97">
        <f>IF($B41&lt;'League Races Female'!$BB$100+1,VLOOKUP(CONCATENATE($L$6,$B41),'League Races Female'!$AQ$8:$BD$86,11,FALSE),"")</f>
      </c>
      <c r="O41" s="98">
        <f>IF($B41&lt;'League Races Female'!$BB$100+1,VLOOKUP(CONCATENATE($L$6,$B41),'League Races Female'!$AQ$8:$BD$86,6,FALSE),"")</f>
      </c>
      <c r="P41" s="98">
        <f>IF($B41&lt;'League Races Female'!$BB$100+1,VLOOKUP(CONCATENATE($L$6,$B41),'League Races Female'!$AQ$8:$BD$86,7,FALSE),"")</f>
      </c>
      <c r="Q41" s="98">
        <f>IF($B41&lt;'League Races Female'!$BB$100+1,VLOOKUP(CONCATENATE($L$6,$B41),'League Races Female'!$AQ$8:$BD$86,8,FALSE),"")</f>
      </c>
      <c r="R41" s="98">
        <f>IF($B41&lt;'League Races Female'!$BB$100+1,VLOOKUP(CONCATENATE($L$6,$B41),'League Races Female'!$AQ$8:$BD$86,9,FALSE),"")</f>
      </c>
      <c r="S41" s="102">
        <f>IF($B41&lt;'League Races Female'!$BB$100+1,VLOOKUP(CONCATENATE($L$6,$B41),'League Races Female'!$AQ$8:$BD$86,10,FALSE),"")</f>
      </c>
      <c r="T41" s="20"/>
      <c r="U41" s="20"/>
      <c r="V41" s="20"/>
      <c r="W41" s="20"/>
      <c r="X41" s="20"/>
    </row>
    <row r="42" spans="1:24" ht="16.5">
      <c r="A42" s="20"/>
      <c r="B42" s="67">
        <f t="shared" si="1"/>
        <v>34</v>
      </c>
      <c r="C42" s="97">
        <f>IF($B42&lt;'League Races Male'!$BB$100+1,VLOOKUP(CONCATENATE($C$6,$B42),'League Races Male'!$AQ$8:$BD$86,13,FALSE),"")</f>
      </c>
      <c r="D42" s="97">
        <f>IF($B42&lt;'League Races Male'!$BB$100+1,VLOOKUP(CONCATENATE($C$6,$B42),'League Races Male'!$AQ$8:$BD$86,14,FALSE),"")</f>
      </c>
      <c r="E42" s="97">
        <f>IF($B42&lt;'League Races Male'!$BB$100+1,VLOOKUP(CONCATENATE($C$6,$B42),'League Races Male'!$AQ$8:$BD$86,11,FALSE),"")</f>
      </c>
      <c r="F42" s="98">
        <f>IF($B42&lt;'League Races Male'!$BB$100+1,VLOOKUP(CONCATENATE($C$6,$B42),'League Races Male'!$AQ$8:$BD$86,6,FALSE),"")</f>
      </c>
      <c r="G42" s="98">
        <f>IF($B42&lt;'League Races Male'!$BB$100+1,VLOOKUP(CONCATENATE($C$6,$B42),'League Races Male'!$AQ$8:$BD$86,7,FALSE),"")</f>
      </c>
      <c r="H42" s="98">
        <f>IF($B42&lt;'League Races Male'!$BB$100+1,VLOOKUP(CONCATENATE($C$6,$B42),'League Races Male'!$AQ$8:$BD$86,8,FALSE),"")</f>
      </c>
      <c r="I42" s="98">
        <f>IF($B42&lt;'League Races Male'!$BB$100+1,VLOOKUP(CONCATENATE($C$6,$B42),'League Races Male'!$AQ$8:$BD$86,9,FALSE),"")</f>
      </c>
      <c r="J42" s="99">
        <f>IF($B42&lt;'League Races Male'!$BB$100+1,VLOOKUP(CONCATENATE($C$6,$B42),'League Races Male'!$AQ$8:$BD$86,10,FALSE),"")</f>
      </c>
      <c r="K42" s="141"/>
      <c r="L42" s="97">
        <f>IF($B42&lt;'League Races Female'!$BB$100+1,VLOOKUP(CONCATENATE($L$6,$B42),'League Races Female'!$AQ$8:$BD$86,13,FALSE),"")</f>
      </c>
      <c r="M42" s="97">
        <f>IF($B42&lt;'League Races Female'!$BB$100+1,VLOOKUP(CONCATENATE($L$6,$B42),'League Races Female'!$AQ$8:$BD$86,14,FALSE),"")</f>
      </c>
      <c r="N42" s="97">
        <f>IF($B42&lt;'League Races Female'!$BB$100+1,VLOOKUP(CONCATENATE($L$6,$B42),'League Races Female'!$AQ$8:$BD$86,11,FALSE),"")</f>
      </c>
      <c r="O42" s="98">
        <f>IF($B42&lt;'League Races Female'!$BB$100+1,VLOOKUP(CONCATENATE($L$6,$B42),'League Races Female'!$AQ$8:$BD$86,6,FALSE),"")</f>
      </c>
      <c r="P42" s="98">
        <f>IF($B42&lt;'League Races Female'!$BB$100+1,VLOOKUP(CONCATENATE($L$6,$B42),'League Races Female'!$AQ$8:$BD$86,7,FALSE),"")</f>
      </c>
      <c r="Q42" s="98">
        <f>IF($B42&lt;'League Races Female'!$BB$100+1,VLOOKUP(CONCATENATE($L$6,$B42),'League Races Female'!$AQ$8:$BD$86,8,FALSE),"")</f>
      </c>
      <c r="R42" s="98">
        <f>IF($B42&lt;'League Races Female'!$BB$100+1,VLOOKUP(CONCATENATE($L$6,$B42),'League Races Female'!$AQ$8:$BD$86,9,FALSE),"")</f>
      </c>
      <c r="S42" s="102">
        <f>IF($B42&lt;'League Races Female'!$BB$100+1,VLOOKUP(CONCATENATE($L$6,$B42),'League Races Female'!$AQ$8:$BD$86,10,FALSE),"")</f>
      </c>
      <c r="T42" s="20"/>
      <c r="U42" s="20"/>
      <c r="V42" s="20"/>
      <c r="W42" s="20"/>
      <c r="X42" s="20"/>
    </row>
    <row r="43" spans="1:24" ht="16.5">
      <c r="A43" s="20"/>
      <c r="B43" s="67">
        <f t="shared" si="1"/>
        <v>35</v>
      </c>
      <c r="C43" s="97">
        <f>IF($B43&lt;'League Races Male'!$BB$100+1,VLOOKUP(CONCATENATE($C$6,$B43),'League Races Male'!$AQ$8:$BD$86,13,FALSE),"")</f>
      </c>
      <c r="D43" s="97">
        <f>IF($B43&lt;'League Races Male'!$BB$100+1,VLOOKUP(CONCATENATE($C$6,$B43),'League Races Male'!$AQ$8:$BD$86,14,FALSE),"")</f>
      </c>
      <c r="E43" s="97">
        <f>IF($B43&lt;'League Races Male'!$BB$100+1,VLOOKUP(CONCATENATE($C$6,$B43),'League Races Male'!$AQ$8:$BD$86,11,FALSE),"")</f>
      </c>
      <c r="F43" s="98">
        <f>IF($B43&lt;'League Races Male'!$BB$100+1,VLOOKUP(CONCATENATE($C$6,$B43),'League Races Male'!$AQ$8:$BD$86,6,FALSE),"")</f>
      </c>
      <c r="G43" s="98">
        <f>IF($B43&lt;'League Races Male'!$BB$100+1,VLOOKUP(CONCATENATE($C$6,$B43),'League Races Male'!$AQ$8:$BD$86,7,FALSE),"")</f>
      </c>
      <c r="H43" s="98">
        <f>IF($B43&lt;'League Races Male'!$BB$100+1,VLOOKUP(CONCATENATE($C$6,$B43),'League Races Male'!$AQ$8:$BD$86,8,FALSE),"")</f>
      </c>
      <c r="I43" s="98">
        <f>IF($B43&lt;'League Races Male'!$BB$100+1,VLOOKUP(CONCATENATE($C$6,$B43),'League Races Male'!$AQ$8:$BD$86,9,FALSE),"")</f>
      </c>
      <c r="J43" s="99">
        <f>IF($B43&lt;'League Races Male'!$BB$100+1,VLOOKUP(CONCATENATE($C$6,$B43),'League Races Male'!$AQ$8:$BD$86,10,FALSE),"")</f>
      </c>
      <c r="K43" s="141"/>
      <c r="L43" s="97">
        <f>IF($B43&lt;'League Races Female'!$BB$100+1,VLOOKUP(CONCATENATE($L$6,$B43),'League Races Female'!$AQ$8:$BD$86,13,FALSE),"")</f>
      </c>
      <c r="M43" s="97">
        <f>IF($B43&lt;'League Races Female'!$BB$100+1,VLOOKUP(CONCATENATE($L$6,$B43),'League Races Female'!$AQ$8:$BD$86,14,FALSE),"")</f>
      </c>
      <c r="N43" s="97">
        <f>IF($B43&lt;'League Races Female'!$BB$100+1,VLOOKUP(CONCATENATE($L$6,$B43),'League Races Female'!$AQ$8:$BD$86,11,FALSE),"")</f>
      </c>
      <c r="O43" s="98">
        <f>IF($B43&lt;'League Races Female'!$BB$100+1,VLOOKUP(CONCATENATE($L$6,$B43),'League Races Female'!$AQ$8:$BD$86,6,FALSE),"")</f>
      </c>
      <c r="P43" s="98">
        <f>IF($B43&lt;'League Races Female'!$BB$100+1,VLOOKUP(CONCATENATE($L$6,$B43),'League Races Female'!$AQ$8:$BD$86,7,FALSE),"")</f>
      </c>
      <c r="Q43" s="98">
        <f>IF($B43&lt;'League Races Female'!$BB$100+1,VLOOKUP(CONCATENATE($L$6,$B43),'League Races Female'!$AQ$8:$BD$86,8,FALSE),"")</f>
      </c>
      <c r="R43" s="98">
        <f>IF($B43&lt;'League Races Female'!$BB$100+1,VLOOKUP(CONCATENATE($L$6,$B43),'League Races Female'!$AQ$8:$BD$86,9,FALSE),"")</f>
      </c>
      <c r="S43" s="102">
        <f>IF($B43&lt;'League Races Female'!$BB$100+1,VLOOKUP(CONCATENATE($L$6,$B43),'League Races Female'!$AQ$8:$BD$86,10,FALSE),"")</f>
      </c>
      <c r="T43" s="20"/>
      <c r="U43" s="20"/>
      <c r="V43" s="20"/>
      <c r="W43" s="20"/>
      <c r="X43" s="20"/>
    </row>
    <row r="44" spans="1:24" ht="16.5">
      <c r="A44" s="20"/>
      <c r="B44" s="67">
        <f t="shared" si="1"/>
        <v>36</v>
      </c>
      <c r="C44" s="97">
        <f>IF($B44&lt;'League Races Male'!$BB$100+1,VLOOKUP(CONCATENATE($C$6,$B44),'League Races Male'!$AQ$8:$BD$86,13,FALSE),"")</f>
      </c>
      <c r="D44" s="97">
        <f>IF($B44&lt;'League Races Male'!$BB$100+1,VLOOKUP(CONCATENATE($C$6,$B44),'League Races Male'!$AQ$8:$BD$86,14,FALSE),"")</f>
      </c>
      <c r="E44" s="97">
        <f>IF($B44&lt;'League Races Male'!$BB$100+1,VLOOKUP(CONCATENATE($C$6,$B44),'League Races Male'!$AQ$8:$BD$86,11,FALSE),"")</f>
      </c>
      <c r="F44" s="98">
        <f>IF($B44&lt;'League Races Male'!$BB$100+1,VLOOKUP(CONCATENATE($C$6,$B44),'League Races Male'!$AQ$8:$BD$86,6,FALSE),"")</f>
      </c>
      <c r="G44" s="98">
        <f>IF($B44&lt;'League Races Male'!$BB$100+1,VLOOKUP(CONCATENATE($C$6,$B44),'League Races Male'!$AQ$8:$BD$86,7,FALSE),"")</f>
      </c>
      <c r="H44" s="98">
        <f>IF($B44&lt;'League Races Male'!$BB$100+1,VLOOKUP(CONCATENATE($C$6,$B44),'League Races Male'!$AQ$8:$BD$86,8,FALSE),"")</f>
      </c>
      <c r="I44" s="98">
        <f>IF($B44&lt;'League Races Male'!$BB$100+1,VLOOKUP(CONCATENATE($C$6,$B44),'League Races Male'!$AQ$8:$BD$86,9,FALSE),"")</f>
      </c>
      <c r="J44" s="99">
        <f>IF($B44&lt;'League Races Male'!$BB$100+1,VLOOKUP(CONCATENATE($C$6,$B44),'League Races Male'!$AQ$8:$BD$86,10,FALSE),"")</f>
      </c>
      <c r="K44" s="141"/>
      <c r="L44" s="97">
        <f>IF($B44&lt;'League Races Female'!$BB$100+1,VLOOKUP(CONCATENATE($L$6,$B44),'League Races Female'!$AQ$8:$BD$86,13,FALSE),"")</f>
      </c>
      <c r="M44" s="97">
        <f>IF($B44&lt;'League Races Female'!$BB$100+1,VLOOKUP(CONCATENATE($L$6,$B44),'League Races Female'!$AQ$8:$BD$86,14,FALSE),"")</f>
      </c>
      <c r="N44" s="97">
        <f>IF($B44&lt;'League Races Female'!$BB$100+1,VLOOKUP(CONCATENATE($L$6,$B44),'League Races Female'!$AQ$8:$BD$86,11,FALSE),"")</f>
      </c>
      <c r="O44" s="98">
        <f>IF($B44&lt;'League Races Female'!$BB$100+1,VLOOKUP(CONCATENATE($L$6,$B44),'League Races Female'!$AQ$8:$BD$86,6,FALSE),"")</f>
      </c>
      <c r="P44" s="98">
        <f>IF($B44&lt;'League Races Female'!$BB$100+1,VLOOKUP(CONCATENATE($L$6,$B44),'League Races Female'!$AQ$8:$BD$86,7,FALSE),"")</f>
      </c>
      <c r="Q44" s="98">
        <f>IF($B44&lt;'League Races Female'!$BB$100+1,VLOOKUP(CONCATENATE($L$6,$B44),'League Races Female'!$AQ$8:$BD$86,8,FALSE),"")</f>
      </c>
      <c r="R44" s="98">
        <f>IF($B44&lt;'League Races Female'!$BB$100+1,VLOOKUP(CONCATENATE($L$6,$B44),'League Races Female'!$AQ$8:$BD$86,9,FALSE),"")</f>
      </c>
      <c r="S44" s="102">
        <f>IF($B44&lt;'League Races Female'!$BB$100+1,VLOOKUP(CONCATENATE($L$6,$B44),'League Races Female'!$AQ$8:$BD$86,10,FALSE),"")</f>
      </c>
      <c r="T44" s="20"/>
      <c r="U44" s="20"/>
      <c r="V44" s="20"/>
      <c r="W44" s="20"/>
      <c r="X44" s="20"/>
    </row>
    <row r="45" spans="1:24" ht="16.5">
      <c r="A45" s="20"/>
      <c r="B45" s="67">
        <f t="shared" si="1"/>
        <v>37</v>
      </c>
      <c r="C45" s="97">
        <f>IF($B45&lt;'League Races Male'!$BB$100+1,VLOOKUP(CONCATENATE($C$6,$B45),'League Races Male'!$AQ$8:$BD$86,13,FALSE),"")</f>
      </c>
      <c r="D45" s="97">
        <f>IF($B45&lt;'League Races Male'!$BB$100+1,VLOOKUP(CONCATENATE($C$6,$B45),'League Races Male'!$AQ$8:$BD$86,14,FALSE),"")</f>
      </c>
      <c r="E45" s="97">
        <f>IF($B45&lt;'League Races Male'!$BB$100+1,VLOOKUP(CONCATENATE($C$6,$B45),'League Races Male'!$AQ$8:$BD$86,11,FALSE),"")</f>
      </c>
      <c r="F45" s="98">
        <f>IF($B45&lt;'League Races Male'!$BB$100+1,VLOOKUP(CONCATENATE($C$6,$B45),'League Races Male'!$AQ$8:$BD$86,6,FALSE),"")</f>
      </c>
      <c r="G45" s="98">
        <f>IF($B45&lt;'League Races Male'!$BB$100+1,VLOOKUP(CONCATENATE($C$6,$B45),'League Races Male'!$AQ$8:$BD$86,7,FALSE),"")</f>
      </c>
      <c r="H45" s="98">
        <f>IF($B45&lt;'League Races Male'!$BB$100+1,VLOOKUP(CONCATENATE($C$6,$B45),'League Races Male'!$AQ$8:$BD$86,8,FALSE),"")</f>
      </c>
      <c r="I45" s="98">
        <f>IF($B45&lt;'League Races Male'!$BB$100+1,VLOOKUP(CONCATENATE($C$6,$B45),'League Races Male'!$AQ$8:$BD$86,9,FALSE),"")</f>
      </c>
      <c r="J45" s="99">
        <f>IF($B45&lt;'League Races Male'!$BB$100+1,VLOOKUP(CONCATENATE($C$6,$B45),'League Races Male'!$AQ$8:$BD$86,10,FALSE),"")</f>
      </c>
      <c r="K45" s="141"/>
      <c r="L45" s="97">
        <f>IF($B45&lt;'League Races Female'!$BB$100+1,VLOOKUP(CONCATENATE($L$6,$B45),'League Races Female'!$AQ$8:$BD$86,13,FALSE),"")</f>
      </c>
      <c r="M45" s="97">
        <f>IF($B45&lt;'League Races Female'!$BB$100+1,VLOOKUP(CONCATENATE($L$6,$B45),'League Races Female'!$AQ$8:$BD$86,14,FALSE),"")</f>
      </c>
      <c r="N45" s="97">
        <f>IF($B45&lt;'League Races Female'!$BB$100+1,VLOOKUP(CONCATENATE($L$6,$B45),'League Races Female'!$AQ$8:$BD$86,11,FALSE),"")</f>
      </c>
      <c r="O45" s="98">
        <f>IF($B45&lt;'League Races Female'!$BB$100+1,VLOOKUP(CONCATENATE($L$6,$B45),'League Races Female'!$AQ$8:$BD$86,6,FALSE),"")</f>
      </c>
      <c r="P45" s="98">
        <f>IF($B45&lt;'League Races Female'!$BB$100+1,VLOOKUP(CONCATENATE($L$6,$B45),'League Races Female'!$AQ$8:$BD$86,7,FALSE),"")</f>
      </c>
      <c r="Q45" s="98">
        <f>IF($B45&lt;'League Races Female'!$BB$100+1,VLOOKUP(CONCATENATE($L$6,$B45),'League Races Female'!$AQ$8:$BD$86,8,FALSE),"")</f>
      </c>
      <c r="R45" s="98">
        <f>IF($B45&lt;'League Races Female'!$BB$100+1,VLOOKUP(CONCATENATE($L$6,$B45),'League Races Female'!$AQ$8:$BD$86,9,FALSE),"")</f>
      </c>
      <c r="S45" s="102">
        <f>IF($B45&lt;'League Races Female'!$BB$100+1,VLOOKUP(CONCATENATE($L$6,$B45),'League Races Female'!$AQ$8:$BD$86,10,FALSE),"")</f>
      </c>
      <c r="T45" s="20"/>
      <c r="U45" s="20"/>
      <c r="V45" s="20"/>
      <c r="W45" s="20"/>
      <c r="X45" s="20"/>
    </row>
    <row r="46" spans="1:24" ht="16.5">
      <c r="A46" s="20"/>
      <c r="B46" s="67">
        <f t="shared" si="1"/>
        <v>38</v>
      </c>
      <c r="C46" s="97">
        <f>IF($B46&lt;'League Races Male'!$BB$100+1,VLOOKUP(CONCATENATE($C$6,$B46),'League Races Male'!$AQ$8:$BD$86,13,FALSE),"")</f>
      </c>
      <c r="D46" s="97">
        <f>IF($B46&lt;'League Races Male'!$BB$100+1,VLOOKUP(CONCATENATE($C$6,$B46),'League Races Male'!$AQ$8:$BD$86,14,FALSE),"")</f>
      </c>
      <c r="E46" s="97">
        <f>IF($B46&lt;'League Races Male'!$BB$100+1,VLOOKUP(CONCATENATE($C$6,$B46),'League Races Male'!$AQ$8:$BD$86,11,FALSE),"")</f>
      </c>
      <c r="F46" s="98">
        <f>IF($B46&lt;'League Races Male'!$BB$100+1,VLOOKUP(CONCATENATE($C$6,$B46),'League Races Male'!$AQ$8:$BD$86,6,FALSE),"")</f>
      </c>
      <c r="G46" s="98">
        <f>IF($B46&lt;'League Races Male'!$BB$100+1,VLOOKUP(CONCATENATE($C$6,$B46),'League Races Male'!$AQ$8:$BD$86,7,FALSE),"")</f>
      </c>
      <c r="H46" s="98">
        <f>IF($B46&lt;'League Races Male'!$BB$100+1,VLOOKUP(CONCATENATE($C$6,$B46),'League Races Male'!$AQ$8:$BD$86,8,FALSE),"")</f>
      </c>
      <c r="I46" s="98">
        <f>IF($B46&lt;'League Races Male'!$BB$100+1,VLOOKUP(CONCATENATE($C$6,$B46),'League Races Male'!$AQ$8:$BD$86,9,FALSE),"")</f>
      </c>
      <c r="J46" s="99">
        <f>IF($B46&lt;'League Races Male'!$BB$100+1,VLOOKUP(CONCATENATE($C$6,$B46),'League Races Male'!$AQ$8:$BD$86,10,FALSE),"")</f>
      </c>
      <c r="K46" s="141"/>
      <c r="L46" s="97">
        <f>IF($B46&lt;'League Races Female'!$BB$100+1,VLOOKUP(CONCATENATE($L$6,$B46),'League Races Female'!$AQ$8:$BD$86,13,FALSE),"")</f>
      </c>
      <c r="M46" s="97">
        <f>IF($B46&lt;'League Races Female'!$BB$100+1,VLOOKUP(CONCATENATE($L$6,$B46),'League Races Female'!$AQ$8:$BD$86,14,FALSE),"")</f>
      </c>
      <c r="N46" s="97">
        <f>IF($B46&lt;'League Races Female'!$BB$100+1,VLOOKUP(CONCATENATE($L$6,$B46),'League Races Female'!$AQ$8:$BD$86,11,FALSE),"")</f>
      </c>
      <c r="O46" s="98">
        <f>IF($B46&lt;'League Races Female'!$BB$100+1,VLOOKUP(CONCATENATE($L$6,$B46),'League Races Female'!$AQ$8:$BD$86,6,FALSE),"")</f>
      </c>
      <c r="P46" s="98">
        <f>IF($B46&lt;'League Races Female'!$BB$100+1,VLOOKUP(CONCATENATE($L$6,$B46),'League Races Female'!$AQ$8:$BD$86,7,FALSE),"")</f>
      </c>
      <c r="Q46" s="98">
        <f>IF($B46&lt;'League Races Female'!$BB$100+1,VLOOKUP(CONCATENATE($L$6,$B46),'League Races Female'!$AQ$8:$BD$86,8,FALSE),"")</f>
      </c>
      <c r="R46" s="98">
        <f>IF($B46&lt;'League Races Female'!$BB$100+1,VLOOKUP(CONCATENATE($L$6,$B46),'League Races Female'!$AQ$8:$BD$86,9,FALSE),"")</f>
      </c>
      <c r="S46" s="102">
        <f>IF($B46&lt;'League Races Female'!$BB$100+1,VLOOKUP(CONCATENATE($L$6,$B46),'League Races Female'!$AQ$8:$BD$86,10,FALSE),"")</f>
      </c>
      <c r="T46" s="20"/>
      <c r="U46" s="20"/>
      <c r="V46" s="20"/>
      <c r="W46" s="20"/>
      <c r="X46" s="20"/>
    </row>
    <row r="47" spans="1:24" ht="16.5">
      <c r="A47" s="20"/>
      <c r="B47" s="67">
        <f>B46+1</f>
        <v>39</v>
      </c>
      <c r="C47" s="97">
        <f>IF($B47&lt;'League Races Male'!$BB$100+1,VLOOKUP(CONCATENATE($C$6,$B47),'League Races Male'!$AQ$8:$BD$86,13,FALSE),"")</f>
      </c>
      <c r="D47" s="97">
        <f>IF($B47&lt;'League Races Male'!$BB$100+1,VLOOKUP(CONCATENATE($C$6,$B47),'League Races Male'!$AQ$8:$BD$86,14,FALSE),"")</f>
      </c>
      <c r="E47" s="97">
        <f>IF($B47&lt;'League Races Male'!$BB$100+1,VLOOKUP(CONCATENATE($C$6,$B47),'League Races Male'!$AQ$8:$BD$86,11,FALSE),"")</f>
      </c>
      <c r="F47" s="98">
        <f>IF($B47&lt;'League Races Male'!$BB$100+1,VLOOKUP(CONCATENATE($C$6,$B47),'League Races Male'!$AQ$8:$BD$86,6,FALSE),"")</f>
      </c>
      <c r="G47" s="98">
        <f>IF($B47&lt;'League Races Male'!$BB$100+1,VLOOKUP(CONCATENATE($C$6,$B47),'League Races Male'!$AQ$8:$BD$86,7,FALSE),"")</f>
      </c>
      <c r="H47" s="98">
        <f>IF($B47&lt;'League Races Male'!$BB$100+1,VLOOKUP(CONCATENATE($C$6,$B47),'League Races Male'!$AQ$8:$BD$86,8,FALSE),"")</f>
      </c>
      <c r="I47" s="98">
        <f>IF($B47&lt;'League Races Male'!$BB$100+1,VLOOKUP(CONCATENATE($C$6,$B47),'League Races Male'!$AQ$8:$BD$86,9,FALSE),"")</f>
      </c>
      <c r="J47" s="99">
        <f>IF($B47&lt;'League Races Male'!$BB$100+1,VLOOKUP(CONCATENATE($C$6,$B47),'League Races Male'!$AQ$8:$BD$86,10,FALSE),"")</f>
      </c>
      <c r="K47" s="141"/>
      <c r="L47" s="97">
        <f>IF($B47&lt;'League Races Female'!$BB$100+1,VLOOKUP(CONCATENATE($L$6,$B47),'League Races Female'!$AQ$8:$BD$86,13,FALSE),"")</f>
      </c>
      <c r="M47" s="97">
        <f>IF($B47&lt;'League Races Female'!$BB$100+1,VLOOKUP(CONCATENATE($L$6,$B47),'League Races Female'!$AQ$8:$BD$86,14,FALSE),"")</f>
      </c>
      <c r="N47" s="97">
        <f>IF($B47&lt;'League Races Female'!$BB$100+1,VLOOKUP(CONCATENATE($L$6,$B47),'League Races Female'!$AQ$8:$BD$86,11,FALSE),"")</f>
      </c>
      <c r="O47" s="98">
        <f>IF($B47&lt;'League Races Female'!$BB$100+1,VLOOKUP(CONCATENATE($L$6,$B47),'League Races Female'!$AQ$8:$BD$86,6,FALSE),"")</f>
      </c>
      <c r="P47" s="98">
        <f>IF($B47&lt;'League Races Female'!$BB$100+1,VLOOKUP(CONCATENATE($L$6,$B47),'League Races Female'!$AQ$8:$BD$86,7,FALSE),"")</f>
      </c>
      <c r="Q47" s="98">
        <f>IF($B47&lt;'League Races Female'!$BB$100+1,VLOOKUP(CONCATENATE($L$6,$B47),'League Races Female'!$AQ$8:$BD$86,8,FALSE),"")</f>
      </c>
      <c r="R47" s="98">
        <f>IF($B47&lt;'League Races Female'!$BB$100+1,VLOOKUP(CONCATENATE($L$6,$B47),'League Races Female'!$AQ$8:$BD$86,9,FALSE),"")</f>
      </c>
      <c r="S47" s="102">
        <f>IF($B47&lt;'League Races Female'!$BB$100+1,VLOOKUP(CONCATENATE($L$6,$B47),'League Races Female'!$AQ$8:$BD$86,10,FALSE),"")</f>
      </c>
      <c r="T47" s="20"/>
      <c r="U47" s="20"/>
      <c r="V47" s="20"/>
      <c r="W47" s="20"/>
      <c r="X47" s="20"/>
    </row>
    <row r="48" spans="1:24" ht="16.5">
      <c r="A48" s="20"/>
      <c r="B48" s="67">
        <f>B47+1</f>
        <v>40</v>
      </c>
      <c r="C48" s="97">
        <f>IF($B48&lt;'League Races Male'!$BB$100+1,VLOOKUP(CONCATENATE($C$6,$B48),'League Races Male'!$AQ$8:$BD$86,13,FALSE),"")</f>
      </c>
      <c r="D48" s="97">
        <f>IF($B48&lt;'League Races Male'!$BB$100+1,VLOOKUP(CONCATENATE($C$6,$B48),'League Races Male'!$AQ$8:$BD$86,14,FALSE),"")</f>
      </c>
      <c r="E48" s="97">
        <f>IF($B48&lt;'League Races Male'!$BB$100+1,VLOOKUP(CONCATENATE($C$6,$B48),'League Races Male'!$AQ$8:$BD$86,11,FALSE),"")</f>
      </c>
      <c r="F48" s="98">
        <f>IF($B48&lt;'League Races Male'!$BB$100+1,VLOOKUP(CONCATENATE($C$6,$B48),'League Races Male'!$AQ$8:$BD$86,6,FALSE),"")</f>
      </c>
      <c r="G48" s="98">
        <f>IF($B48&lt;'League Races Male'!$BB$100+1,VLOOKUP(CONCATENATE($C$6,$B48),'League Races Male'!$AQ$8:$BD$86,7,FALSE),"")</f>
      </c>
      <c r="H48" s="98">
        <f>IF($B48&lt;'League Races Male'!$BB$100+1,VLOOKUP(CONCATENATE($C$6,$B48),'League Races Male'!$AQ$8:$BD$86,8,FALSE),"")</f>
      </c>
      <c r="I48" s="98">
        <f>IF($B48&lt;'League Races Male'!$BB$100+1,VLOOKUP(CONCATENATE($C$6,$B48),'League Races Male'!$AQ$8:$BD$86,9,FALSE),"")</f>
      </c>
      <c r="J48" s="99">
        <f>IF($B48&lt;'League Races Male'!$BB$100+1,VLOOKUP(CONCATENATE($C$6,$B48),'League Races Male'!$AQ$8:$BD$86,10,FALSE),"")</f>
      </c>
      <c r="K48" s="141"/>
      <c r="L48" s="97">
        <f>IF($B48&lt;'League Races Female'!$BB$100+1,VLOOKUP(CONCATENATE($L$6,$B48),'League Races Female'!$AQ$8:$BD$86,13,FALSE),"")</f>
      </c>
      <c r="M48" s="97">
        <f>IF($B48&lt;'League Races Female'!$BB$100+1,VLOOKUP(CONCATENATE($L$6,$B48),'League Races Female'!$AQ$8:$BD$86,14,FALSE),"")</f>
      </c>
      <c r="N48" s="97">
        <f>IF($B48&lt;'League Races Female'!$BB$100+1,VLOOKUP(CONCATENATE($L$6,$B48),'League Races Female'!$AQ$8:$BD$86,11,FALSE),"")</f>
      </c>
      <c r="O48" s="98">
        <f>IF($B48&lt;'League Races Female'!$BB$100+1,VLOOKUP(CONCATENATE($L$6,$B48),'League Races Female'!$AQ$8:$BD$86,6,FALSE),"")</f>
      </c>
      <c r="P48" s="98">
        <f>IF($B48&lt;'League Races Female'!$BB$100+1,VLOOKUP(CONCATENATE($L$6,$B48),'League Races Female'!$AQ$8:$BD$86,7,FALSE),"")</f>
      </c>
      <c r="Q48" s="98">
        <f>IF($B48&lt;'League Races Female'!$BB$100+1,VLOOKUP(CONCATENATE($L$6,$B48),'League Races Female'!$AQ$8:$BD$86,8,FALSE),"")</f>
      </c>
      <c r="R48" s="98">
        <f>IF($B48&lt;'League Races Female'!$BB$100+1,VLOOKUP(CONCATENATE($L$6,$B48),'League Races Female'!$AQ$8:$BD$86,9,FALSE),"")</f>
      </c>
      <c r="S48" s="102">
        <f>IF($B48&lt;'League Races Female'!$BB$100+1,VLOOKUP(CONCATENATE($L$6,$B48),'League Races Female'!$AQ$8:$BD$86,10,FALSE),"")</f>
      </c>
      <c r="T48" s="20"/>
      <c r="U48" s="20"/>
      <c r="V48" s="20"/>
      <c r="W48" s="20"/>
      <c r="X48" s="20"/>
    </row>
    <row r="49" spans="1:24" ht="12.75">
      <c r="A49" s="20"/>
      <c r="B49" s="20"/>
      <c r="C49" s="20"/>
      <c r="D49" s="20"/>
      <c r="E49" s="20"/>
      <c r="F49" s="20"/>
      <c r="G49" s="20"/>
      <c r="H49" s="20"/>
      <c r="I49" s="20"/>
      <c r="J49" s="20"/>
      <c r="K49" s="20"/>
      <c r="L49" s="20"/>
      <c r="M49" s="20"/>
      <c r="N49" s="20"/>
      <c r="O49" s="20"/>
      <c r="P49" s="20"/>
      <c r="Q49" s="20"/>
      <c r="R49" s="20"/>
      <c r="S49" s="20"/>
      <c r="T49" s="20"/>
      <c r="U49" s="20"/>
      <c r="V49" s="20"/>
      <c r="W49" s="20"/>
      <c r="X49" s="20"/>
    </row>
    <row r="50" spans="1:24" ht="12.75">
      <c r="A50" s="20"/>
      <c r="B50" s="20"/>
      <c r="C50" s="20"/>
      <c r="D50" s="20"/>
      <c r="E50" s="20"/>
      <c r="F50" s="20"/>
      <c r="G50" s="20"/>
      <c r="H50" s="20"/>
      <c r="I50" s="20"/>
      <c r="J50" s="20"/>
      <c r="K50" s="20"/>
      <c r="L50" s="20"/>
      <c r="M50" s="20"/>
      <c r="N50" s="20"/>
      <c r="O50" s="20"/>
      <c r="P50" s="20"/>
      <c r="Q50" s="20"/>
      <c r="R50" s="20"/>
      <c r="S50" s="20"/>
      <c r="T50" s="20"/>
      <c r="U50" s="20"/>
      <c r="V50" s="20"/>
      <c r="W50" s="20"/>
      <c r="X50" s="20"/>
    </row>
    <row r="51" spans="1:24" ht="12.75">
      <c r="A51" s="20"/>
      <c r="B51" s="20"/>
      <c r="C51" s="20"/>
      <c r="D51" s="20"/>
      <c r="E51" s="20"/>
      <c r="F51" s="20"/>
      <c r="G51" s="20"/>
      <c r="H51" s="20"/>
      <c r="I51" s="20"/>
      <c r="J51" s="20"/>
      <c r="K51" s="20"/>
      <c r="L51" s="20"/>
      <c r="M51" s="20"/>
      <c r="N51" s="20"/>
      <c r="O51" s="20"/>
      <c r="P51" s="20"/>
      <c r="Q51" s="20"/>
      <c r="R51" s="20"/>
      <c r="S51" s="20"/>
      <c r="T51" s="20"/>
      <c r="U51" s="20"/>
      <c r="V51" s="20"/>
      <c r="W51" s="20"/>
      <c r="X51" s="20"/>
    </row>
    <row r="52" spans="1:24" ht="12.75">
      <c r="A52" s="20"/>
      <c r="B52" s="20"/>
      <c r="C52" s="20"/>
      <c r="D52" s="20"/>
      <c r="E52" s="20"/>
      <c r="F52" s="20"/>
      <c r="G52" s="20"/>
      <c r="H52" s="20"/>
      <c r="I52" s="20"/>
      <c r="J52" s="20"/>
      <c r="K52" s="20"/>
      <c r="L52" s="20"/>
      <c r="M52" s="20"/>
      <c r="N52" s="20"/>
      <c r="O52" s="20"/>
      <c r="P52" s="20"/>
      <c r="Q52" s="20"/>
      <c r="R52" s="20"/>
      <c r="S52" s="20"/>
      <c r="T52" s="20"/>
      <c r="U52" s="20"/>
      <c r="V52" s="20"/>
      <c r="W52" s="20"/>
      <c r="X52" s="20"/>
    </row>
  </sheetData>
  <sheetProtection sheet="1" objects="1" scenarios="1"/>
  <mergeCells count="9">
    <mergeCell ref="O7:S7"/>
    <mergeCell ref="L6:S6"/>
    <mergeCell ref="C6:J6"/>
    <mergeCell ref="G2:N2"/>
    <mergeCell ref="C7:E7"/>
    <mergeCell ref="L7:N7"/>
    <mergeCell ref="F7:J7"/>
    <mergeCell ref="B2:C2"/>
    <mergeCell ref="R2:S2"/>
  </mergeCells>
  <conditionalFormatting sqref="E9:E48 N9:N48">
    <cfRule type="expression" priority="1" dxfId="0" stopIfTrue="1">
      <formula>E9="Q"</formula>
    </cfRule>
    <cfRule type="expression" priority="2" dxfId="1" stopIfTrue="1">
      <formula>E9="NQ"</formula>
    </cfRule>
  </conditionalFormatting>
  <hyperlinks>
    <hyperlink ref="B2:C2" location="'Front Page'!A1" display="Front Page"/>
  </hyperlinks>
  <printOptions/>
  <pageMargins left="0.75" right="0.75" top="1" bottom="1" header="0.5" footer="0.5"/>
  <pageSetup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dimension ref="A1:BT102"/>
  <sheetViews>
    <sheetView zoomScale="80" zoomScaleNormal="80" workbookViewId="0" topLeftCell="A1">
      <pane xSplit="3" ySplit="6" topLeftCell="O7" activePane="bottomRight" state="frozen"/>
      <selection pane="topLeft" activeCell="BM22" sqref="BM22"/>
      <selection pane="topRight" activeCell="BM22" sqref="BM22"/>
      <selection pane="bottomLeft" activeCell="BM22" sqref="BM22"/>
      <selection pane="bottomRight" activeCell="T10" sqref="T10"/>
    </sheetView>
  </sheetViews>
  <sheetFormatPr defaultColWidth="9.140625" defaultRowHeight="12.75"/>
  <cols>
    <col min="1" max="1" width="17.7109375" style="0" customWidth="1"/>
    <col min="2" max="2" width="6.8515625" style="0" customWidth="1"/>
    <col min="3" max="3" width="12.28125" style="0" customWidth="1"/>
    <col min="4" max="4" width="15.28125" style="0" customWidth="1"/>
    <col min="5" max="6" width="11.7109375" style="0" customWidth="1"/>
    <col min="7" max="7" width="11.421875" style="0" customWidth="1"/>
    <col min="8" max="8" width="15.57421875" style="0" customWidth="1"/>
    <col min="9" max="9" width="11.57421875" style="0" customWidth="1"/>
    <col min="10" max="10" width="15.140625" style="0" customWidth="1"/>
    <col min="11" max="11" width="12.421875" style="0" customWidth="1"/>
    <col min="12" max="12" width="10.7109375" style="0" customWidth="1"/>
    <col min="13" max="13" width="13.28125" style="0" customWidth="1"/>
    <col min="14" max="14" width="14.421875" style="0" customWidth="1"/>
    <col min="15" max="15" width="17.00390625" style="0" customWidth="1"/>
    <col min="16" max="16" width="17.421875" style="0" customWidth="1"/>
    <col min="17" max="17" width="15.00390625" style="0" customWidth="1"/>
    <col min="18" max="18" width="14.7109375" style="0" customWidth="1"/>
    <col min="19" max="19" width="14.57421875" style="0" customWidth="1"/>
    <col min="20" max="20" width="14.421875" style="0" customWidth="1"/>
    <col min="22" max="22" width="30.28125" style="0" customWidth="1"/>
    <col min="25" max="25" width="5.7109375" style="0" customWidth="1"/>
    <col min="36" max="36" width="3.421875" style="0" customWidth="1"/>
    <col min="42" max="50" width="0" style="0" hidden="1" customWidth="1"/>
    <col min="51" max="51" width="12.00390625" style="0" hidden="1" customWidth="1"/>
    <col min="52" max="52" width="11.28125" style="0" hidden="1" customWidth="1"/>
    <col min="53" max="54" width="0" style="0" hidden="1" customWidth="1"/>
    <col min="55" max="55" width="18.421875" style="0" hidden="1" customWidth="1"/>
    <col min="56" max="66" width="0" style="0" hidden="1" customWidth="1"/>
    <col min="67" max="67" width="15.140625" style="0" hidden="1" customWidth="1"/>
    <col min="68" max="68" width="0" style="0" hidden="1" customWidth="1"/>
    <col min="69" max="69" width="16.00390625" style="0" hidden="1" customWidth="1"/>
    <col min="70" max="70" width="0" style="0" hidden="1" customWidth="1"/>
    <col min="71" max="71" width="10.57421875" style="0" hidden="1" customWidth="1"/>
  </cols>
  <sheetData>
    <row r="1" spans="1:72" ht="39.75" customHeight="1" thickBot="1">
      <c r="A1" s="224" t="s">
        <v>140</v>
      </c>
      <c r="B1" s="225"/>
      <c r="C1" s="61"/>
      <c r="D1" s="80"/>
      <c r="E1" s="267" t="s">
        <v>45</v>
      </c>
      <c r="F1" s="267"/>
      <c r="G1" s="267"/>
      <c r="H1" s="267"/>
      <c r="I1" s="267"/>
      <c r="J1" s="267"/>
      <c r="K1" s="267"/>
      <c r="L1" s="11"/>
      <c r="M1" s="13"/>
      <c r="N1" s="20"/>
      <c r="O1" s="20"/>
      <c r="P1" s="20"/>
      <c r="Q1" s="20"/>
      <c r="R1" s="20"/>
      <c r="S1" s="20"/>
      <c r="T1" s="255"/>
      <c r="U1" s="255"/>
      <c r="V1" s="255"/>
      <c r="W1" s="20"/>
      <c r="AN1" s="261" t="s">
        <v>115</v>
      </c>
      <c r="AO1" s="261"/>
      <c r="AP1" s="258" t="s">
        <v>113</v>
      </c>
      <c r="AQ1" s="103"/>
      <c r="AR1" s="103"/>
      <c r="AS1" s="248" t="s">
        <v>65</v>
      </c>
      <c r="AT1" s="249"/>
      <c r="AU1" s="249"/>
      <c r="AV1" s="249"/>
      <c r="AW1" s="249"/>
      <c r="AX1" s="249"/>
      <c r="AY1" s="249"/>
      <c r="AZ1" s="103"/>
      <c r="BA1" s="248" t="s">
        <v>64</v>
      </c>
      <c r="BB1" s="258" t="s">
        <v>111</v>
      </c>
      <c r="BC1" s="258"/>
      <c r="BD1" s="259"/>
      <c r="BE1" s="247" t="s">
        <v>58</v>
      </c>
      <c r="BF1" s="247"/>
      <c r="BG1" s="103"/>
      <c r="BH1" s="103"/>
      <c r="BI1" s="103"/>
      <c r="BJ1" s="11"/>
      <c r="BK1" s="243" t="s">
        <v>120</v>
      </c>
      <c r="BL1" s="243"/>
      <c r="BM1" s="243"/>
      <c r="BN1" s="244" t="s">
        <v>252</v>
      </c>
      <c r="BO1" s="244"/>
      <c r="BP1" s="244"/>
      <c r="BQ1" s="244"/>
      <c r="BR1" s="244"/>
      <c r="BS1" s="220"/>
      <c r="BT1" s="103"/>
    </row>
    <row r="2" spans="1:72" ht="37.5" customHeight="1" thickBot="1">
      <c r="A2" s="268" t="s">
        <v>57</v>
      </c>
      <c r="B2" s="269"/>
      <c r="C2" s="59" t="s">
        <v>55</v>
      </c>
      <c r="D2" s="245" t="s">
        <v>104</v>
      </c>
      <c r="E2" s="246"/>
      <c r="F2" s="246"/>
      <c r="G2" s="246"/>
      <c r="H2" s="246"/>
      <c r="I2" s="246"/>
      <c r="J2" s="246"/>
      <c r="K2" s="246"/>
      <c r="L2" s="246"/>
      <c r="M2" s="57"/>
      <c r="N2" s="57"/>
      <c r="O2" s="57"/>
      <c r="P2" s="57"/>
      <c r="Q2" s="57"/>
      <c r="R2" s="57"/>
      <c r="S2" s="57"/>
      <c r="T2" s="256"/>
      <c r="U2" s="256"/>
      <c r="V2" s="256"/>
      <c r="W2" s="57"/>
      <c r="AN2" s="261"/>
      <c r="AO2" s="261"/>
      <c r="AP2" s="248"/>
      <c r="AQ2" s="103"/>
      <c r="AR2" s="103"/>
      <c r="AS2" s="249"/>
      <c r="AT2" s="249"/>
      <c r="AU2" s="249"/>
      <c r="AV2" s="249"/>
      <c r="AW2" s="249"/>
      <c r="AX2" s="249"/>
      <c r="AY2" s="249"/>
      <c r="AZ2" s="103"/>
      <c r="BA2" s="248"/>
      <c r="BB2" s="258"/>
      <c r="BC2" s="258"/>
      <c r="BD2" s="259"/>
      <c r="BE2" s="104" t="s">
        <v>39</v>
      </c>
      <c r="BF2" s="104">
        <v>1</v>
      </c>
      <c r="BG2" s="104" t="s">
        <v>39</v>
      </c>
      <c r="BH2" s="103"/>
      <c r="BI2" s="103"/>
      <c r="BJ2" s="11"/>
      <c r="BK2" s="243"/>
      <c r="BL2" s="243"/>
      <c r="BM2" s="243"/>
      <c r="BN2" s="11"/>
      <c r="BO2" s="243" t="s">
        <v>121</v>
      </c>
      <c r="BP2" s="243" t="s">
        <v>122</v>
      </c>
      <c r="BQ2" s="243"/>
      <c r="BR2" s="243"/>
      <c r="BS2" s="220"/>
      <c r="BT2" s="103"/>
    </row>
    <row r="3" spans="1:72" ht="15.75" customHeight="1" thickBot="1">
      <c r="A3" s="263" t="s">
        <v>67</v>
      </c>
      <c r="B3" s="264"/>
      <c r="C3" s="64"/>
      <c r="D3" s="270" t="s">
        <v>10</v>
      </c>
      <c r="E3" s="271"/>
      <c r="F3" s="271"/>
      <c r="G3" s="271"/>
      <c r="H3" s="272"/>
      <c r="I3" s="273" t="s">
        <v>11</v>
      </c>
      <c r="J3" s="274"/>
      <c r="K3" s="274"/>
      <c r="L3" s="274"/>
      <c r="M3" s="275"/>
      <c r="N3" s="276" t="s">
        <v>12</v>
      </c>
      <c r="O3" s="277"/>
      <c r="P3" s="277"/>
      <c r="Q3" s="277"/>
      <c r="R3" s="277"/>
      <c r="S3" s="278"/>
      <c r="T3" s="257"/>
      <c r="U3" s="257"/>
      <c r="V3" s="257"/>
      <c r="W3" s="20"/>
      <c r="AN3" s="261"/>
      <c r="AO3" s="261"/>
      <c r="AP3" s="248"/>
      <c r="AQ3" s="103"/>
      <c r="AR3" s="103"/>
      <c r="AS3" s="249"/>
      <c r="AT3" s="249"/>
      <c r="AU3" s="249"/>
      <c r="AV3" s="249"/>
      <c r="AW3" s="249"/>
      <c r="AX3" s="249"/>
      <c r="AY3" s="249"/>
      <c r="AZ3" s="103"/>
      <c r="BA3" s="248"/>
      <c r="BB3" s="258"/>
      <c r="BC3" s="258"/>
      <c r="BD3" s="259"/>
      <c r="BE3" s="104" t="s">
        <v>20</v>
      </c>
      <c r="BF3" s="104">
        <v>2</v>
      </c>
      <c r="BG3" s="104" t="s">
        <v>20</v>
      </c>
      <c r="BH3" s="103"/>
      <c r="BI3" s="103"/>
      <c r="BJ3" s="11"/>
      <c r="BK3" s="243"/>
      <c r="BL3" s="243"/>
      <c r="BM3" s="243"/>
      <c r="BN3" s="11" t="s">
        <v>19</v>
      </c>
      <c r="BO3" s="243"/>
      <c r="BP3" s="243"/>
      <c r="BQ3" s="243"/>
      <c r="BR3" s="243"/>
      <c r="BS3" s="220"/>
      <c r="BT3" s="103"/>
    </row>
    <row r="4" spans="1:72" ht="39" thickBot="1">
      <c r="A4" s="263"/>
      <c r="B4" s="264"/>
      <c r="C4" s="65" t="s">
        <v>56</v>
      </c>
      <c r="D4" s="29" t="s">
        <v>116</v>
      </c>
      <c r="E4" s="30" t="s">
        <v>13</v>
      </c>
      <c r="F4" s="30" t="s">
        <v>14</v>
      </c>
      <c r="G4" s="30" t="s">
        <v>15</v>
      </c>
      <c r="H4" s="31" t="s">
        <v>117</v>
      </c>
      <c r="I4" s="49" t="s">
        <v>16</v>
      </c>
      <c r="J4" s="26" t="s">
        <v>17</v>
      </c>
      <c r="K4" s="26" t="s">
        <v>28</v>
      </c>
      <c r="L4" s="26" t="s">
        <v>29</v>
      </c>
      <c r="M4" s="43" t="s">
        <v>18</v>
      </c>
      <c r="N4" s="27" t="s">
        <v>30</v>
      </c>
      <c r="O4" s="28" t="s">
        <v>31</v>
      </c>
      <c r="P4" s="28" t="s">
        <v>32</v>
      </c>
      <c r="Q4" s="28" t="s">
        <v>33</v>
      </c>
      <c r="R4" s="28" t="s">
        <v>34</v>
      </c>
      <c r="S4" s="85" t="s">
        <v>35</v>
      </c>
      <c r="T4" s="250" t="s">
        <v>60</v>
      </c>
      <c r="U4" s="251"/>
      <c r="V4" s="251"/>
      <c r="W4" s="20"/>
      <c r="AN4" s="261"/>
      <c r="AO4" s="261"/>
      <c r="AP4" s="248"/>
      <c r="AQ4" s="103"/>
      <c r="AR4" s="103"/>
      <c r="AS4" s="249"/>
      <c r="AT4" s="249"/>
      <c r="AU4" s="249"/>
      <c r="AV4" s="249"/>
      <c r="AW4" s="249"/>
      <c r="AX4" s="249"/>
      <c r="AY4" s="249"/>
      <c r="AZ4" s="103"/>
      <c r="BA4" s="248"/>
      <c r="BB4" s="258"/>
      <c r="BC4" s="258"/>
      <c r="BD4" s="259"/>
      <c r="BE4" s="104" t="s">
        <v>40</v>
      </c>
      <c r="BF4" s="104">
        <v>3</v>
      </c>
      <c r="BG4" s="104" t="s">
        <v>40</v>
      </c>
      <c r="BH4" s="103"/>
      <c r="BI4" s="103"/>
      <c r="BJ4" s="11"/>
      <c r="BK4" s="243"/>
      <c r="BL4" s="243"/>
      <c r="BM4" s="243"/>
      <c r="BN4" s="219">
        <f>HLOOKUP($BO$4,D4:S5,2,FALSE)</f>
        <v>5</v>
      </c>
      <c r="BO4" s="217" t="str">
        <f>'Race Analysis'!BD22</f>
        <v>Aberystwyth 10k</v>
      </c>
      <c r="BP4" s="243"/>
      <c r="BQ4" s="243"/>
      <c r="BR4" s="243"/>
      <c r="BS4" s="222" t="s">
        <v>26</v>
      </c>
      <c r="BT4" s="103"/>
    </row>
    <row r="5" spans="1:72" ht="18.75" customHeight="1" thickBot="1">
      <c r="A5" s="265"/>
      <c r="B5" s="266"/>
      <c r="C5" s="65" t="s">
        <v>19</v>
      </c>
      <c r="D5" s="29">
        <v>2</v>
      </c>
      <c r="E5" s="30">
        <v>2</v>
      </c>
      <c r="F5" s="30">
        <v>2</v>
      </c>
      <c r="G5" s="30">
        <v>2</v>
      </c>
      <c r="H5" s="31">
        <v>2</v>
      </c>
      <c r="I5" s="49">
        <v>4</v>
      </c>
      <c r="J5" s="26">
        <v>5</v>
      </c>
      <c r="K5" s="26">
        <v>5</v>
      </c>
      <c r="L5" s="26">
        <v>4</v>
      </c>
      <c r="M5" s="43">
        <v>5</v>
      </c>
      <c r="N5" s="27">
        <v>9</v>
      </c>
      <c r="O5" s="28">
        <v>12</v>
      </c>
      <c r="P5" s="28">
        <v>7</v>
      </c>
      <c r="Q5" s="28">
        <v>9</v>
      </c>
      <c r="R5" s="28">
        <v>9</v>
      </c>
      <c r="S5" s="85">
        <v>7</v>
      </c>
      <c r="T5" s="252" t="s">
        <v>106</v>
      </c>
      <c r="U5" s="253"/>
      <c r="V5" s="254"/>
      <c r="W5" s="20"/>
      <c r="AN5" s="261"/>
      <c r="AO5" s="261"/>
      <c r="AP5" s="248"/>
      <c r="AQ5" s="103"/>
      <c r="AR5" s="103"/>
      <c r="AS5" s="249"/>
      <c r="AT5" s="249"/>
      <c r="AU5" s="249"/>
      <c r="AV5" s="249"/>
      <c r="AW5" s="249"/>
      <c r="AX5" s="249"/>
      <c r="AY5" s="249"/>
      <c r="AZ5" s="103"/>
      <c r="BA5" s="248"/>
      <c r="BB5" s="258"/>
      <c r="BC5" s="258"/>
      <c r="BD5" s="259"/>
      <c r="BE5" s="104" t="s">
        <v>21</v>
      </c>
      <c r="BF5" s="104">
        <v>4</v>
      </c>
      <c r="BG5" s="104" t="s">
        <v>21</v>
      </c>
      <c r="BH5" s="103"/>
      <c r="BI5" s="103"/>
      <c r="BJ5" s="11"/>
      <c r="BK5" s="11"/>
      <c r="BL5" s="11" t="s">
        <v>160</v>
      </c>
      <c r="BM5" s="11"/>
      <c r="BN5" s="11" t="str">
        <f>VLOOKUP($BN$4,BF2:BG14,2,FALSE)</f>
        <v>10k</v>
      </c>
      <c r="BO5" s="243" t="s">
        <v>89</v>
      </c>
      <c r="BP5" s="11"/>
      <c r="BQ5" s="11"/>
      <c r="BR5" s="11"/>
      <c r="BS5" s="221">
        <f>HLOOKUP($BO$4,D4:S6,3,FALSE)</f>
        <v>39417</v>
      </c>
      <c r="BT5" s="103"/>
    </row>
    <row r="6" spans="1:72" ht="64.5" thickBot="1">
      <c r="A6" s="20" t="s">
        <v>38</v>
      </c>
      <c r="B6" s="20" t="s">
        <v>4</v>
      </c>
      <c r="C6" s="53" t="s">
        <v>26</v>
      </c>
      <c r="D6" s="32">
        <v>39173</v>
      </c>
      <c r="E6" s="33">
        <v>39218</v>
      </c>
      <c r="F6" s="33">
        <v>39232</v>
      </c>
      <c r="G6" s="33">
        <v>39246</v>
      </c>
      <c r="H6" s="34">
        <v>39326</v>
      </c>
      <c r="I6" s="51">
        <v>39158</v>
      </c>
      <c r="J6" s="35">
        <v>39229</v>
      </c>
      <c r="K6" s="36">
        <v>39203</v>
      </c>
      <c r="L6" s="36">
        <v>39264</v>
      </c>
      <c r="M6" s="44">
        <v>39417</v>
      </c>
      <c r="N6" s="37">
        <v>39131</v>
      </c>
      <c r="O6" s="38">
        <v>39158</v>
      </c>
      <c r="P6" s="39"/>
      <c r="Q6" s="38">
        <v>39208</v>
      </c>
      <c r="R6" s="38">
        <v>39334</v>
      </c>
      <c r="S6" s="84">
        <v>39356</v>
      </c>
      <c r="T6" s="94" t="s">
        <v>89</v>
      </c>
      <c r="U6" s="95" t="s">
        <v>19</v>
      </c>
      <c r="V6" s="95" t="s">
        <v>56</v>
      </c>
      <c r="W6" s="20"/>
      <c r="AN6" s="261"/>
      <c r="AO6" s="261"/>
      <c r="AP6" s="103" t="s">
        <v>112</v>
      </c>
      <c r="AQ6" s="103"/>
      <c r="AR6" s="103"/>
      <c r="AS6" s="103" t="s">
        <v>10</v>
      </c>
      <c r="AT6" s="103" t="s">
        <v>11</v>
      </c>
      <c r="AU6" s="105" t="s">
        <v>12</v>
      </c>
      <c r="AV6" s="103" t="s">
        <v>10</v>
      </c>
      <c r="AW6" s="103" t="s">
        <v>11</v>
      </c>
      <c r="AX6" s="105" t="s">
        <v>12</v>
      </c>
      <c r="AY6" s="103" t="s">
        <v>61</v>
      </c>
      <c r="AZ6" s="103" t="s">
        <v>62</v>
      </c>
      <c r="BA6" s="103" t="s">
        <v>63</v>
      </c>
      <c r="BB6" s="103"/>
      <c r="BC6" s="103"/>
      <c r="BD6" s="103" t="s">
        <v>4</v>
      </c>
      <c r="BE6" s="104" t="s">
        <v>22</v>
      </c>
      <c r="BF6" s="104">
        <v>5</v>
      </c>
      <c r="BG6" s="104" t="s">
        <v>22</v>
      </c>
      <c r="BH6" s="103"/>
      <c r="BI6" s="103"/>
      <c r="BJ6" s="11"/>
      <c r="BK6" s="11"/>
      <c r="BL6" s="11">
        <f>LARGE(BL7:BL86,1)</f>
        <v>20</v>
      </c>
      <c r="BM6" s="11"/>
      <c r="BN6" s="11"/>
      <c r="BO6" s="243"/>
      <c r="BP6" s="11" t="s">
        <v>37</v>
      </c>
      <c r="BQ6" s="11" t="s">
        <v>38</v>
      </c>
      <c r="BR6" s="11" t="s">
        <v>4</v>
      </c>
      <c r="BS6" s="222"/>
      <c r="BT6" s="103"/>
    </row>
    <row r="7" spans="1:70" ht="13.5" thickBot="1">
      <c r="A7" s="192" t="s">
        <v>195</v>
      </c>
      <c r="B7" s="193">
        <v>43</v>
      </c>
      <c r="C7" s="194" t="s">
        <v>36</v>
      </c>
      <c r="D7" s="195">
        <v>0</v>
      </c>
      <c r="E7" s="195">
        <v>0.015057870370370369</v>
      </c>
      <c r="F7" s="195">
        <v>0.015208333333333332</v>
      </c>
      <c r="G7" s="195">
        <v>0.015185185185185185</v>
      </c>
      <c r="H7" s="195">
        <v>0</v>
      </c>
      <c r="I7" s="195">
        <v>0</v>
      </c>
      <c r="J7" s="195">
        <v>0</v>
      </c>
      <c r="K7" s="195">
        <v>0</v>
      </c>
      <c r="L7" s="195">
        <v>0</v>
      </c>
      <c r="M7" s="195">
        <v>0.03351851851851852</v>
      </c>
      <c r="N7" s="195">
        <v>0.073125</v>
      </c>
      <c r="O7" s="195">
        <v>0</v>
      </c>
      <c r="P7" s="195">
        <v>0</v>
      </c>
      <c r="Q7" s="195">
        <v>0</v>
      </c>
      <c r="R7" s="195">
        <v>0.07266203703703704</v>
      </c>
      <c r="S7" s="196">
        <v>0</v>
      </c>
      <c r="T7" s="196">
        <v>0.015185185185185185</v>
      </c>
      <c r="U7" s="197">
        <v>2</v>
      </c>
      <c r="V7" s="198" t="s">
        <v>263</v>
      </c>
      <c r="W7" s="20"/>
      <c r="BE7" s="24" t="s">
        <v>41</v>
      </c>
      <c r="BF7" s="24">
        <v>6</v>
      </c>
      <c r="BG7" s="24" t="s">
        <v>41</v>
      </c>
      <c r="BJ7" t="str">
        <f>IF(BO7&gt;0,"In","")</f>
        <v>In</v>
      </c>
      <c r="BK7" s="41">
        <f aca="true" t="shared" si="0" ref="BK7:BK38">IF(BJ7="In",BO7,"")</f>
        <v>0.03351851851851852</v>
      </c>
      <c r="BL7">
        <f aca="true" t="shared" si="1" ref="BL7:BL38">IF(BJ7="In",RANK(BK7,BK$7:BK$86,1),"")</f>
        <v>5</v>
      </c>
      <c r="BM7" t="str">
        <f aca="true" t="shared" si="2" ref="BM7:BM66">CONCATENATE(BJ7,BL7)</f>
        <v>In5</v>
      </c>
      <c r="BN7">
        <v>7</v>
      </c>
      <c r="BO7" s="41">
        <f aca="true" t="shared" si="3" ref="BO7:BO38">HLOOKUP($BO$4,D$4:S$86,BN7-3,FALSE)</f>
        <v>0.03351851851851852</v>
      </c>
      <c r="BP7">
        <f>BO8</f>
        <v>68.80482555191408</v>
      </c>
      <c r="BQ7" t="str">
        <f>IF($BJ7="In",A7,"")</f>
        <v>Kate O'Sullivan</v>
      </c>
      <c r="BR7">
        <f>IF($BJ7="In",B7,"")</f>
        <v>43</v>
      </c>
    </row>
    <row r="8" spans="1:67" ht="13.5" thickBot="1">
      <c r="A8" s="58" t="str">
        <f>CONCATENATE(A7,C8)</f>
        <v>Kate O'SullivanPoints</v>
      </c>
      <c r="B8" s="55"/>
      <c r="C8" s="54" t="s">
        <v>37</v>
      </c>
      <c r="D8" s="56">
        <f>IF(D7&gt;0,VLOOKUP(CONCATENATE($C$2,$B7),'Base Calculation'!$A$5:$O$89,D$5+2,FALSE)/D7*100,"")</f>
      </c>
      <c r="E8" s="56">
        <f>IF(E7&gt;0,VLOOKUP(CONCATENATE($C$2,$B7),'Base Calculation'!$A$5:$O$89,E$5+2,FALSE)/E7*100,"")</f>
        <v>74.23311577835769</v>
      </c>
      <c r="F8" s="56">
        <f>IF(F7&gt;0,VLOOKUP(CONCATENATE($C$2,$B7),'Base Calculation'!$A$5:$O$89,F$5+2,FALSE)/F7*100,"")</f>
        <v>73.49869378055048</v>
      </c>
      <c r="G8" s="56">
        <f>IF(G7&gt;0,VLOOKUP(CONCATENATE($C$2,$B7),'Base Calculation'!$A$5:$O$89,G$5+2,FALSE)/G7*100,"")</f>
        <v>73.61073447228912</v>
      </c>
      <c r="H8" s="56">
        <f>IF(H7&gt;0,VLOOKUP(CONCATENATE($C$2,$B7),'Base Calculation'!$A$5:$O$89,H$5+2,FALSE)/H7*100,"")</f>
      </c>
      <c r="I8" s="56">
        <f>IF(I7&gt;0,VLOOKUP(CONCATENATE($C$2,$B7),'Base Calculation'!$A$5:$O$89,I$5+2,FALSE)/I7*100,"")</f>
      </c>
      <c r="J8" s="56">
        <f>IF(J7&gt;0,VLOOKUP(CONCATENATE($C$2,$B7),'Base Calculation'!$A$5:$O$89,J$5+2,FALSE)/J7*100,"")</f>
      </c>
      <c r="K8" s="56">
        <f>IF(K7&gt;0,VLOOKUP(CONCATENATE($C$2,$B7),'Base Calculation'!$A$5:$O$89,K$5+2,FALSE)/K7*100,"")</f>
      </c>
      <c r="L8" s="56">
        <f>IF(L7&gt;0,VLOOKUP(CONCATENATE($C$2,$B7),'Base Calculation'!$A$5:$O$89,L$5+2,FALSE)/L7*100,"")</f>
      </c>
      <c r="M8" s="56">
        <f>IF(M7&gt;0,VLOOKUP(CONCATENATE($C$2,$B7),'Base Calculation'!$A$5:$O$89,M$5+2,FALSE)/M7*100,"")</f>
        <v>68.80482555191408</v>
      </c>
      <c r="N8" s="56">
        <f>IF(N7&gt;0,VLOOKUP(CONCATENATE($C$2,$B7),'Base Calculation'!$A$5:$O$89,N$5+2,FALSE)/N7*100,"")</f>
        <v>69.13229668358898</v>
      </c>
      <c r="O8" s="56">
        <f>IF(O7&gt;0,VLOOKUP(CONCATENATE($C$2,$B7),'Base Calculation'!$A$5:$O$89,O$5+2,FALSE)/O7*100,"")</f>
      </c>
      <c r="P8" s="56">
        <f>IF(P7&gt;0,VLOOKUP(CONCATENATE($C$2,$B7),'Base Calculation'!$A$5:$O$89,P$5+2,FALSE)/P7*100,"")</f>
      </c>
      <c r="Q8" s="56">
        <f>IF(Q7&gt;0,VLOOKUP(CONCATENATE($C$2,$B7),'Base Calculation'!$A$5:$O$89,Q$5+2,FALSE)/Q7*100,"")</f>
      </c>
      <c r="R8" s="56">
        <f>IF(R7&gt;0,VLOOKUP(CONCATENATE($C$2,$B7),'Base Calculation'!$A$5:$O$89,R$5+2,FALSE)/R7*100,"")</f>
        <v>69.57277006163032</v>
      </c>
      <c r="S8" s="56">
        <f>IF(S7&gt;0,VLOOKUP(CONCATENATE($C$2,$B7),'Base Calculation'!$A$5:$O$89,S$5+2,FALSE)/S7*100,"")</f>
      </c>
      <c r="T8" s="82">
        <f>IF(T7&gt;0,VLOOKUP(CONCATENATE($C$2,$B7),'Base Calculation'!$A$5:$O$89,U7+2,FALSE)/T7*100,"")</f>
        <v>73.61073447228912</v>
      </c>
      <c r="U8" s="86" t="str">
        <f>IF(U7&gt;0,VLOOKUP(U7,BF$2:BG$14,2,FALSE),"")</f>
        <v>5k</v>
      </c>
      <c r="V8" s="87" t="str">
        <f>V7</f>
        <v>Rhayder 3</v>
      </c>
      <c r="W8" s="20"/>
      <c r="AP8">
        <f>17-COUNTIF(D8:T8,"")</f>
        <v>7</v>
      </c>
      <c r="AQ8" t="str">
        <f>CONCATENATE($C$2,BB8)</f>
        <v>Female4</v>
      </c>
      <c r="AS8" s="25">
        <f>SUM(D8:H8)</f>
        <v>221.3425440311973</v>
      </c>
      <c r="AT8" s="25">
        <f>SUM(I8:M8)</f>
        <v>68.80482555191408</v>
      </c>
      <c r="AU8" s="25">
        <f>SUM(N8:S8)</f>
        <v>138.7050667452193</v>
      </c>
      <c r="AV8" s="25">
        <f>IF($AS8&gt;0,LARGE(D8:H8,1),0)</f>
        <v>74.23311577835769</v>
      </c>
      <c r="AW8" s="25">
        <f>IF($AT8&gt;0,LARGE(I8:M8,1),0)</f>
        <v>68.80482555191408</v>
      </c>
      <c r="AX8" s="25">
        <f>IF($AU8&gt;0,LARGE(N8:S8,1),0)</f>
        <v>69.57277006163032</v>
      </c>
      <c r="AY8" s="25">
        <f>IF('League Summary'!$X$2=1,T8,"")</f>
        <v>73.61073447228912</v>
      </c>
      <c r="AZ8" s="25">
        <f>SUM(AV8:AY8)</f>
        <v>286.2214458641912</v>
      </c>
      <c r="BA8" t="str">
        <f>IF(AND(AV8&gt;0,AW8&gt;0,AX8&gt;0,(AP8&gt;=4)),"Q","NQ")</f>
        <v>Q</v>
      </c>
      <c r="BB8">
        <f>IF(AZ8&gt;0,RANK(AZ8,AZ$8:AZ$86,0),"")</f>
        <v>4</v>
      </c>
      <c r="BC8" t="str">
        <f>A7</f>
        <v>Kate O'Sullivan</v>
      </c>
      <c r="BD8">
        <f>B7</f>
        <v>43</v>
      </c>
      <c r="BE8" s="24" t="s">
        <v>25</v>
      </c>
      <c r="BF8" s="24">
        <v>7</v>
      </c>
      <c r="BG8" s="24" t="s">
        <v>25</v>
      </c>
      <c r="BK8" s="41">
        <f t="shared" si="0"/>
      </c>
      <c r="BL8">
        <f t="shared" si="1"/>
      </c>
      <c r="BM8">
        <f t="shared" si="2"/>
      </c>
      <c r="BN8">
        <v>8</v>
      </c>
      <c r="BO8" s="108">
        <f t="shared" si="3"/>
        <v>68.80482555191408</v>
      </c>
    </row>
    <row r="9" spans="1:70" ht="13.5" thickBot="1">
      <c r="A9" s="192" t="s">
        <v>196</v>
      </c>
      <c r="B9" s="193">
        <v>54</v>
      </c>
      <c r="C9" s="194" t="s">
        <v>36</v>
      </c>
      <c r="D9" s="195">
        <v>0</v>
      </c>
      <c r="E9" s="195">
        <v>0</v>
      </c>
      <c r="F9" s="195">
        <v>0</v>
      </c>
      <c r="G9" s="195">
        <v>0.01601851851851852</v>
      </c>
      <c r="H9" s="195">
        <v>0.01671296296296296</v>
      </c>
      <c r="I9" s="195">
        <v>0</v>
      </c>
      <c r="J9" s="195">
        <v>0</v>
      </c>
      <c r="K9" s="195">
        <v>0.034525462962962966</v>
      </c>
      <c r="L9" s="195">
        <v>0</v>
      </c>
      <c r="M9" s="195">
        <v>0.03383101851851852</v>
      </c>
      <c r="N9" s="195">
        <v>0.08006944444444444</v>
      </c>
      <c r="O9" s="195">
        <v>0.12725694444444444</v>
      </c>
      <c r="P9" s="195">
        <v>0</v>
      </c>
      <c r="Q9" s="195">
        <v>0</v>
      </c>
      <c r="R9" s="195">
        <v>0.07893518518518518</v>
      </c>
      <c r="S9" s="196">
        <v>0</v>
      </c>
      <c r="T9" s="196">
        <v>0.07523148148148148</v>
      </c>
      <c r="U9" s="197">
        <v>9</v>
      </c>
      <c r="V9" s="198" t="s">
        <v>272</v>
      </c>
      <c r="W9" s="20"/>
      <c r="BC9" t="str">
        <f aca="true" t="shared" si="4" ref="BC9:BC65">A9</f>
        <v>Glenda Roberts</v>
      </c>
      <c r="BD9">
        <f aca="true" t="shared" si="5" ref="BD9:BD66">B8</f>
        <v>0</v>
      </c>
      <c r="BE9" s="24" t="s">
        <v>42</v>
      </c>
      <c r="BF9" s="24">
        <v>8</v>
      </c>
      <c r="BG9" s="24" t="s">
        <v>42</v>
      </c>
      <c r="BJ9" t="str">
        <f>IF(BO9&gt;0,"In","")</f>
        <v>In</v>
      </c>
      <c r="BK9" s="41">
        <f t="shared" si="0"/>
        <v>0.03383101851851852</v>
      </c>
      <c r="BL9">
        <f t="shared" si="1"/>
        <v>7</v>
      </c>
      <c r="BM9" t="str">
        <f t="shared" si="2"/>
        <v>In7</v>
      </c>
      <c r="BN9">
        <v>9</v>
      </c>
      <c r="BO9" s="41">
        <f t="shared" si="3"/>
        <v>0.03383101851851852</v>
      </c>
      <c r="BP9">
        <f>BO10</f>
        <v>74.72635661960037</v>
      </c>
      <c r="BQ9" t="str">
        <f>IF($BJ9="In",A9,"")</f>
        <v>Glenda Roberts</v>
      </c>
      <c r="BR9">
        <f>IF($BJ9="In",B9,"")</f>
        <v>54</v>
      </c>
    </row>
    <row r="10" spans="1:67" ht="13.5" thickBot="1">
      <c r="A10" s="58" t="str">
        <f>CONCATENATE(A9,C10)</f>
        <v>Glenda RobertsPoints</v>
      </c>
      <c r="B10" s="55"/>
      <c r="C10" s="54" t="s">
        <v>37</v>
      </c>
      <c r="D10" s="56">
        <f>IF(D9&gt;0,VLOOKUP(CONCATENATE($C$2,$B9),'Base Calculation'!$A$5:$O$89,D$5+2,FALSE)/D9*100,"")</f>
      </c>
      <c r="E10" s="56">
        <f>IF(E9&gt;0,VLOOKUP(CONCATENATE($C$2,$B9),'Base Calculation'!$A$5:$O$89,E$5+2,FALSE)/E9*100,"")</f>
      </c>
      <c r="F10" s="56">
        <f>IF(F9&gt;0,VLOOKUP(CONCATENATE($C$2,$B9),'Base Calculation'!$A$5:$O$89,F$5+2,FALSE)/F9*100,"")</f>
      </c>
      <c r="G10" s="56">
        <f>IF(G9&gt;0,VLOOKUP(CONCATENATE($C$2,$B9),'Base Calculation'!$A$5:$O$89,G$5+2,FALSE)/G9*100,"")</f>
        <v>76.4934174219888</v>
      </c>
      <c r="H10" s="56">
        <f>IF(H9&gt;0,VLOOKUP(CONCATENATE($C$2,$B9),'Base Calculation'!$A$5:$O$89,H$5+2,FALSE)/H9*100,"")</f>
        <v>73.3150205761998</v>
      </c>
      <c r="I10" s="56">
        <f>IF(I9&gt;0,VLOOKUP(CONCATENATE($C$2,$B9),'Base Calculation'!$A$5:$O$89,I$5+2,FALSE)/I9*100,"")</f>
      </c>
      <c r="J10" s="56">
        <f>IF(J9&gt;0,VLOOKUP(CONCATENATE($C$2,$B9),'Base Calculation'!$A$5:$O$89,J$5+2,FALSE)/J9*100,"")</f>
      </c>
      <c r="K10" s="56">
        <f>IF(K9&gt;0,VLOOKUP(CONCATENATE($C$2,$B9),'Base Calculation'!$A$5:$O$89,K$5+2,FALSE)/K9*100,"")</f>
        <v>73.22331223569958</v>
      </c>
      <c r="L10" s="56">
        <f>IF(L9&gt;0,VLOOKUP(CONCATENATE($C$2,$B9),'Base Calculation'!$A$5:$O$89,L$5+2,FALSE)/L9*100,"")</f>
      </c>
      <c r="M10" s="56">
        <f>IF(M9&gt;0,VLOOKUP(CONCATENATE($C$2,$B9),'Base Calculation'!$A$5:$O$89,M$5+2,FALSE)/M9*100,"")</f>
        <v>74.72635661960037</v>
      </c>
      <c r="N10" s="56">
        <f>IF(N9&gt;0,VLOOKUP(CONCATENATE($C$2,$B9),'Base Calculation'!$A$5:$O$89,N$5+2,FALSE)/N9*100,"")</f>
        <v>69.20942114497565</v>
      </c>
      <c r="O10" s="56">
        <f>IF(O9&gt;0,VLOOKUP(CONCATENATE($C$2,$B9),'Base Calculation'!$A$5:$O$89,O$5+2,FALSE)/O9*100,"")</f>
        <v>67.22068912539534</v>
      </c>
      <c r="P10" s="56">
        <f>IF(P9&gt;0,VLOOKUP(CONCATENATE($C$2,$B9),'Base Calculation'!$A$5:$O$89,P$5+2,FALSE)/P9*100,"")</f>
      </c>
      <c r="Q10" s="56">
        <f>IF(Q9&gt;0,VLOOKUP(CONCATENATE($C$2,$B9),'Base Calculation'!$A$5:$O$89,Q$5+2,FALSE)/Q9*100,"")</f>
      </c>
      <c r="R10" s="56">
        <f>IF(R9&gt;0,VLOOKUP(CONCATENATE($C$2,$B9),'Base Calculation'!$A$5:$O$89,R$5+2,FALSE)/R9*100,"")</f>
        <v>70.20392602359847</v>
      </c>
      <c r="S10" s="56">
        <f>IF(S9&gt;0,VLOOKUP(CONCATENATE($C$2,$B9),'Base Calculation'!$A$5:$O$89,S$5+2,FALSE)/S9*100,"")</f>
      </c>
      <c r="T10" s="82">
        <f>IF(T9&gt;0,VLOOKUP(CONCATENATE($C$2,$B9),'Base Calculation'!$A$5:$O$89,U9+2,FALSE)/T9*100,"")</f>
        <v>73.66011930476023</v>
      </c>
      <c r="U10" s="86" t="str">
        <f>IF(U9&gt;0,VLOOKUP(U9,BF$2:BG$14,2,FALSE),"")</f>
        <v>Half Marathon</v>
      </c>
      <c r="V10" s="87" t="str">
        <f>V9</f>
        <v>Bath Half Marathon</v>
      </c>
      <c r="W10" s="20"/>
      <c r="AP10">
        <f>17-COUNTIF(D10:T10,"")</f>
        <v>8</v>
      </c>
      <c r="AQ10" t="str">
        <f>CONCATENATE($C$2,BB10)</f>
        <v>Female3</v>
      </c>
      <c r="AS10" s="25">
        <f>SUM(D10:H10)</f>
        <v>149.8084379981886</v>
      </c>
      <c r="AT10" s="25">
        <f>SUM(I10:M10)</f>
        <v>147.94966885529993</v>
      </c>
      <c r="AU10" s="25">
        <f>SUM(N10:S10)</f>
        <v>206.63403629396947</v>
      </c>
      <c r="AV10" s="25">
        <f>IF($AS10&gt;0,LARGE(D10:H10,1),0)</f>
        <v>76.4934174219888</v>
      </c>
      <c r="AW10" s="25">
        <f>IF($AT10&gt;0,LARGE(I10:M10,1),0)</f>
        <v>74.72635661960037</v>
      </c>
      <c r="AX10" s="25">
        <f>IF($AU10&gt;0,LARGE(N10:S10,1),0)</f>
        <v>70.20392602359847</v>
      </c>
      <c r="AY10" s="25">
        <f>IF('League Summary'!$X$2=1,T10,"")</f>
        <v>73.66011930476023</v>
      </c>
      <c r="AZ10" s="25">
        <f>SUM(AV10:AY10)</f>
        <v>295.08381936994783</v>
      </c>
      <c r="BA10" t="str">
        <f>IF(AND(AV10&gt;0,AW10&gt;0,AX10&gt;0,(AP10&gt;=4)),"Q","NQ")</f>
        <v>Q</v>
      </c>
      <c r="BB10">
        <f>IF(AZ10&gt;0,RANK(AZ10,AZ$8:AZ$86,0),"")</f>
        <v>3</v>
      </c>
      <c r="BC10" t="str">
        <f>A9</f>
        <v>Glenda Roberts</v>
      </c>
      <c r="BD10">
        <f t="shared" si="5"/>
        <v>54</v>
      </c>
      <c r="BE10" s="24" t="s">
        <v>23</v>
      </c>
      <c r="BF10" s="24">
        <v>9</v>
      </c>
      <c r="BG10" s="24" t="s">
        <v>23</v>
      </c>
      <c r="BK10" s="41">
        <f t="shared" si="0"/>
      </c>
      <c r="BL10">
        <f t="shared" si="1"/>
      </c>
      <c r="BM10">
        <f t="shared" si="2"/>
      </c>
      <c r="BN10">
        <v>10</v>
      </c>
      <c r="BO10" s="108">
        <f t="shared" si="3"/>
        <v>74.72635661960037</v>
      </c>
    </row>
    <row r="11" spans="1:70" ht="13.5" thickBot="1">
      <c r="A11" s="192" t="s">
        <v>197</v>
      </c>
      <c r="B11" s="193">
        <v>37</v>
      </c>
      <c r="C11" s="194" t="s">
        <v>36</v>
      </c>
      <c r="D11" s="195">
        <v>0.01747685185185185</v>
      </c>
      <c r="E11" s="195">
        <v>0</v>
      </c>
      <c r="F11" s="195">
        <v>0</v>
      </c>
      <c r="G11" s="195">
        <v>0</v>
      </c>
      <c r="H11" s="195">
        <v>0</v>
      </c>
      <c r="I11" s="195">
        <v>0</v>
      </c>
      <c r="J11" s="195">
        <v>0</v>
      </c>
      <c r="K11" s="195">
        <v>0</v>
      </c>
      <c r="L11" s="195">
        <v>0</v>
      </c>
      <c r="M11" s="195">
        <v>0</v>
      </c>
      <c r="N11" s="195">
        <v>0.08622685185185186</v>
      </c>
      <c r="O11" s="195">
        <v>0</v>
      </c>
      <c r="P11" s="195">
        <v>0</v>
      </c>
      <c r="Q11" s="195">
        <v>0</v>
      </c>
      <c r="R11" s="195">
        <v>0</v>
      </c>
      <c r="S11" s="196">
        <v>0</v>
      </c>
      <c r="T11" s="196">
        <v>0</v>
      </c>
      <c r="U11" s="197"/>
      <c r="V11" s="198"/>
      <c r="W11" s="20"/>
      <c r="BC11" t="str">
        <f t="shared" si="4"/>
        <v>Gwen Parry</v>
      </c>
      <c r="BD11">
        <f t="shared" si="5"/>
        <v>0</v>
      </c>
      <c r="BE11" s="24" t="s">
        <v>43</v>
      </c>
      <c r="BF11" s="24">
        <v>10</v>
      </c>
      <c r="BG11" s="24" t="s">
        <v>43</v>
      </c>
      <c r="BJ11">
        <f>IF(BO11&gt;0,"In","")</f>
      </c>
      <c r="BK11" s="41">
        <f t="shared" si="0"/>
      </c>
      <c r="BL11">
        <f t="shared" si="1"/>
      </c>
      <c r="BM11">
        <f t="shared" si="2"/>
      </c>
      <c r="BN11">
        <v>11</v>
      </c>
      <c r="BO11" s="41">
        <f t="shared" si="3"/>
        <v>0</v>
      </c>
      <c r="BP11">
        <f>BO12</f>
      </c>
      <c r="BQ11">
        <f>IF($BJ11="In",A11,"")</f>
      </c>
      <c r="BR11">
        <f>IF($BJ11="In",B11,"")</f>
      </c>
    </row>
    <row r="12" spans="1:67" ht="13.5" thickBot="1">
      <c r="A12" s="58" t="str">
        <f>CONCATENATE(A11,C12)</f>
        <v>Gwen ParryPoints</v>
      </c>
      <c r="B12" s="55"/>
      <c r="C12" s="54" t="s">
        <v>37</v>
      </c>
      <c r="D12" s="56">
        <f>IF(D11&gt;0,VLOOKUP(CONCATENATE($C$2,$B11),'Base Calculation'!$A$5:$O$89,D$5+2,FALSE)/D11*100,"")</f>
        <v>61.32472480010631</v>
      </c>
      <c r="E12" s="56">
        <f>IF(E11&gt;0,VLOOKUP(CONCATENATE($C$2,$B11),'Base Calculation'!$A$5:$O$89,E$5+2,FALSE)/E11*100,"")</f>
      </c>
      <c r="F12" s="56">
        <f>IF(F11&gt;0,VLOOKUP(CONCATENATE($C$2,$B11),'Base Calculation'!$A$5:$O$89,F$5+2,FALSE)/F11*100,"")</f>
      </c>
      <c r="G12" s="56">
        <f>IF(G11&gt;0,VLOOKUP(CONCATENATE($C$2,$B11),'Base Calculation'!$A$5:$O$89,G$5+2,FALSE)/G11*100,"")</f>
      </c>
      <c r="H12" s="56">
        <f>IF(H11&gt;0,VLOOKUP(CONCATENATE($C$2,$B11),'Base Calculation'!$A$5:$O$89,H$5+2,FALSE)/H11*100,"")</f>
      </c>
      <c r="I12" s="56">
        <f>IF(I11&gt;0,VLOOKUP(CONCATENATE($C$2,$B11),'Base Calculation'!$A$5:$O$89,I$5+2,FALSE)/I11*100,"")</f>
      </c>
      <c r="J12" s="56">
        <f>IF(J11&gt;0,VLOOKUP(CONCATENATE($C$2,$B11),'Base Calculation'!$A$5:$O$89,J$5+2,FALSE)/J11*100,"")</f>
      </c>
      <c r="K12" s="56">
        <f>IF(K11&gt;0,VLOOKUP(CONCATENATE($C$2,$B11),'Base Calculation'!$A$5:$O$89,K$5+2,FALSE)/K11*100,"")</f>
      </c>
      <c r="L12" s="56">
        <f>IF(L11&gt;0,VLOOKUP(CONCATENATE($C$2,$B11),'Base Calculation'!$A$5:$O$89,L$5+2,FALSE)/L11*100,"")</f>
      </c>
      <c r="M12" s="56">
        <f>IF(M11&gt;0,VLOOKUP(CONCATENATE($C$2,$B11),'Base Calculation'!$A$5:$O$89,M$5+2,FALSE)/M11*100,"")</f>
      </c>
      <c r="N12" s="56">
        <f>IF(N11&gt;0,VLOOKUP(CONCATENATE($C$2,$B11),'Base Calculation'!$A$5:$O$89,N$5+2,FALSE)/N11*100,"")</f>
        <v>56.213665237592856</v>
      </c>
      <c r="O12" s="56">
        <f>IF(O11&gt;0,VLOOKUP(CONCATENATE($C$2,$B11),'Base Calculation'!$A$5:$O$89,O$5+2,FALSE)/O11*100,"")</f>
      </c>
      <c r="P12" s="56">
        <f>IF(P11&gt;0,VLOOKUP(CONCATENATE($C$2,$B11),'Base Calculation'!$A$5:$O$89,P$5+2,FALSE)/P11*100,"")</f>
      </c>
      <c r="Q12" s="56">
        <f>IF(Q11&gt;0,VLOOKUP(CONCATENATE($C$2,$B11),'Base Calculation'!$A$5:$O$89,Q$5+2,FALSE)/Q11*100,"")</f>
      </c>
      <c r="R12" s="56">
        <f>IF(R11&gt;0,VLOOKUP(CONCATENATE($C$2,$B11),'Base Calculation'!$A$5:$O$89,R$5+2,FALSE)/R11*100,"")</f>
      </c>
      <c r="S12" s="56">
        <f>IF(S11&gt;0,VLOOKUP(CONCATENATE($C$2,$B11),'Base Calculation'!$A$5:$O$89,S$5+2,FALSE)/S11*100,"")</f>
      </c>
      <c r="T12" s="82">
        <f>IF(T11&gt;0,VLOOKUP(CONCATENATE($C$2,$B11),'Base Calculation'!$A$5:$O$89,U11+2,FALSE)/T11*100,"")</f>
      </c>
      <c r="U12" s="86">
        <f>IF(U11&gt;0,VLOOKUP(U11,BF$2:BG$14,2,FALSE),"")</f>
      </c>
      <c r="V12" s="87">
        <f>V11</f>
        <v>0</v>
      </c>
      <c r="W12" s="20"/>
      <c r="AP12">
        <f>17-COUNTIF(D12:T12,"")</f>
        <v>2</v>
      </c>
      <c r="AQ12" t="str">
        <f>CONCATENATE($C$2,BB12)</f>
        <v>Female15</v>
      </c>
      <c r="AS12" s="25">
        <f>SUM(D12:H12)</f>
        <v>61.32472480010631</v>
      </c>
      <c r="AT12" s="25">
        <f>SUM(I12:M12)</f>
        <v>0</v>
      </c>
      <c r="AU12" s="25">
        <f>SUM(N12:S12)</f>
        <v>56.213665237592856</v>
      </c>
      <c r="AV12" s="25">
        <f>IF($AS12&gt;0,LARGE(D12:H12,1),0)</f>
        <v>61.32472480010631</v>
      </c>
      <c r="AW12" s="25">
        <f>IF($AT12&gt;0,LARGE(I12:M12,1),0)</f>
        <v>0</v>
      </c>
      <c r="AX12" s="25">
        <f>IF($AU12&gt;0,LARGE(N12:S12,1),0)</f>
        <v>56.213665237592856</v>
      </c>
      <c r="AY12" s="25">
        <f>IF('League Summary'!$X$2=1,T12,"")</f>
      </c>
      <c r="AZ12" s="25">
        <f>SUM(AV12:AY12)</f>
        <v>117.53839003769917</v>
      </c>
      <c r="BA12" t="str">
        <f>IF(AND(AV12&gt;0,AW12&gt;0,AX12&gt;0,(AP12&gt;=4)),"Q","NQ")</f>
        <v>NQ</v>
      </c>
      <c r="BB12">
        <f>IF(AZ12&gt;0,RANK(AZ12,AZ$8:AZ$86,0),"")</f>
        <v>15</v>
      </c>
      <c r="BC12" t="str">
        <f>A11</f>
        <v>Gwen Parry</v>
      </c>
      <c r="BD12">
        <f t="shared" si="5"/>
        <v>37</v>
      </c>
      <c r="BE12" s="24" t="s">
        <v>44</v>
      </c>
      <c r="BF12" s="24">
        <v>11</v>
      </c>
      <c r="BG12" s="24" t="s">
        <v>44</v>
      </c>
      <c r="BK12" s="41">
        <f t="shared" si="0"/>
      </c>
      <c r="BL12">
        <f t="shared" si="1"/>
      </c>
      <c r="BM12">
        <f t="shared" si="2"/>
      </c>
      <c r="BN12">
        <v>12</v>
      </c>
      <c r="BO12" s="108">
        <f t="shared" si="3"/>
      </c>
    </row>
    <row r="13" spans="1:70" ht="13.5" thickBot="1">
      <c r="A13" s="192" t="s">
        <v>198</v>
      </c>
      <c r="B13" s="193">
        <v>42</v>
      </c>
      <c r="C13" s="194" t="s">
        <v>36</v>
      </c>
      <c r="D13" s="195">
        <v>0.018460648148148146</v>
      </c>
      <c r="E13" s="195">
        <v>0</v>
      </c>
      <c r="F13" s="195">
        <v>0</v>
      </c>
      <c r="G13" s="195">
        <v>0</v>
      </c>
      <c r="H13" s="195">
        <v>0</v>
      </c>
      <c r="I13" s="195">
        <v>0</v>
      </c>
      <c r="J13" s="195">
        <v>0</v>
      </c>
      <c r="K13" s="195">
        <v>0</v>
      </c>
      <c r="L13" s="195">
        <v>0</v>
      </c>
      <c r="M13" s="195">
        <v>0.040625</v>
      </c>
      <c r="N13" s="195">
        <v>0.09600694444444445</v>
      </c>
      <c r="O13" s="195">
        <v>0</v>
      </c>
      <c r="P13" s="195">
        <v>0</v>
      </c>
      <c r="Q13" s="195">
        <v>0</v>
      </c>
      <c r="R13" s="195">
        <v>0.08729166666666667</v>
      </c>
      <c r="S13" s="196">
        <v>0</v>
      </c>
      <c r="T13" s="196">
        <v>0.09600694444444445</v>
      </c>
      <c r="U13" s="197">
        <v>9</v>
      </c>
      <c r="V13" s="198" t="s">
        <v>30</v>
      </c>
      <c r="W13" s="20"/>
      <c r="BC13" t="str">
        <f t="shared" si="4"/>
        <v>Megan Williams</v>
      </c>
      <c r="BD13">
        <f t="shared" si="5"/>
        <v>0</v>
      </c>
      <c r="BE13" s="24" t="s">
        <v>27</v>
      </c>
      <c r="BF13" s="24">
        <v>12</v>
      </c>
      <c r="BG13" s="24" t="s">
        <v>27</v>
      </c>
      <c r="BJ13" t="str">
        <f>IF(BO13&gt;0,"In","")</f>
        <v>In</v>
      </c>
      <c r="BK13" s="41">
        <f t="shared" si="0"/>
        <v>0.040625</v>
      </c>
      <c r="BL13">
        <f t="shared" si="1"/>
        <v>16</v>
      </c>
      <c r="BM13" t="str">
        <f t="shared" si="2"/>
        <v>In16</v>
      </c>
      <c r="BN13">
        <v>13</v>
      </c>
      <c r="BO13" s="41">
        <f t="shared" si="3"/>
        <v>0.040625</v>
      </c>
      <c r="BP13">
        <f>BO14</f>
        <v>56.357290422867734</v>
      </c>
      <c r="BQ13" t="str">
        <f>IF($BJ13="In",A13,"")</f>
        <v>Megan Williams</v>
      </c>
      <c r="BR13">
        <f>IF($BJ13="In",B13,"")</f>
        <v>42</v>
      </c>
    </row>
    <row r="14" spans="1:67" ht="13.5" thickBot="1">
      <c r="A14" s="58" t="str">
        <f>CONCATENATE(A13,C14)</f>
        <v>Megan WilliamsPoints</v>
      </c>
      <c r="B14" s="55"/>
      <c r="C14" s="54" t="s">
        <v>37</v>
      </c>
      <c r="D14" s="56">
        <f>IF(D13&gt;0,VLOOKUP(CONCATENATE($C$2,$B13),'Base Calculation'!$A$5:$O$89,D$5+2,FALSE)/D13*100,"")</f>
        <v>60.11101541141953</v>
      </c>
      <c r="E14" s="56">
        <f>IF(E13&gt;0,VLOOKUP(CONCATENATE($C$2,$B13),'Base Calculation'!$A$5:$O$89,E$5+2,FALSE)/E13*100,"")</f>
      </c>
      <c r="F14" s="56">
        <f>IF(F13&gt;0,VLOOKUP(CONCATENATE($C$2,$B13),'Base Calculation'!$A$5:$O$89,F$5+2,FALSE)/F13*100,"")</f>
      </c>
      <c r="G14" s="56">
        <f>IF(G13&gt;0,VLOOKUP(CONCATENATE($C$2,$B13),'Base Calculation'!$A$5:$O$89,G$5+2,FALSE)/G13*100,"")</f>
      </c>
      <c r="H14" s="56">
        <f>IF(H13&gt;0,VLOOKUP(CONCATENATE($C$2,$B13),'Base Calculation'!$A$5:$O$89,H$5+2,FALSE)/H13*100,"")</f>
      </c>
      <c r="I14" s="56">
        <f>IF(I13&gt;0,VLOOKUP(CONCATENATE($C$2,$B13),'Base Calculation'!$A$5:$O$89,I$5+2,FALSE)/I13*100,"")</f>
      </c>
      <c r="J14" s="56">
        <f>IF(J13&gt;0,VLOOKUP(CONCATENATE($C$2,$B13),'Base Calculation'!$A$5:$O$89,J$5+2,FALSE)/J13*100,"")</f>
      </c>
      <c r="K14" s="56">
        <f>IF(K13&gt;0,VLOOKUP(CONCATENATE($C$2,$B13),'Base Calculation'!$A$5:$O$89,K$5+2,FALSE)/K13*100,"")</f>
      </c>
      <c r="L14" s="56">
        <f>IF(L13&gt;0,VLOOKUP(CONCATENATE($C$2,$B13),'Base Calculation'!$A$5:$O$89,L$5+2,FALSE)/L13*100,"")</f>
      </c>
      <c r="M14" s="56">
        <f>IF(M13&gt;0,VLOOKUP(CONCATENATE($C$2,$B13),'Base Calculation'!$A$5:$O$89,M$5+2,FALSE)/M13*100,"")</f>
        <v>56.357290422867734</v>
      </c>
      <c r="N14" s="56">
        <f>IF(N13&gt;0,VLOOKUP(CONCATENATE($C$2,$B13),'Base Calculation'!$A$5:$O$89,N$5+2,FALSE)/N13*100,"")</f>
        <v>52.273789156339255</v>
      </c>
      <c r="O14" s="56">
        <f>IF(O13&gt;0,VLOOKUP(CONCATENATE($C$2,$B13),'Base Calculation'!$A$5:$O$89,O$5+2,FALSE)/O13*100,"")</f>
      </c>
      <c r="P14" s="56">
        <f>IF(P13&gt;0,VLOOKUP(CONCATENATE($C$2,$B13),'Base Calculation'!$A$5:$O$89,P$5+2,FALSE)/P13*100,"")</f>
      </c>
      <c r="Q14" s="56">
        <f>IF(Q13&gt;0,VLOOKUP(CONCATENATE($C$2,$B13),'Base Calculation'!$A$5:$O$89,Q$5+2,FALSE)/Q13*100,"")</f>
      </c>
      <c r="R14" s="56">
        <f>IF(R13&gt;0,VLOOKUP(CONCATENATE($C$2,$B13),'Base Calculation'!$A$5:$O$89,R$5+2,FALSE)/R13*100,"")</f>
        <v>57.49285084219492</v>
      </c>
      <c r="S14" s="56">
        <f>IF(S13&gt;0,VLOOKUP(CONCATENATE($C$2,$B13),'Base Calculation'!$A$5:$O$89,S$5+2,FALSE)/S13*100,"")</f>
      </c>
      <c r="T14" s="82">
        <f>IF(T13&gt;0,VLOOKUP(CONCATENATE($C$2,$B13),'Base Calculation'!$A$5:$O$89,U13+2,FALSE)/T13*100,"")</f>
        <v>52.273789156339255</v>
      </c>
      <c r="U14" s="86" t="str">
        <f>IF(U13&gt;0,VLOOKUP(U13,BF$2:BG$14,2,FALSE),"")</f>
        <v>Half Marathon</v>
      </c>
      <c r="V14" s="87" t="str">
        <f>V13</f>
        <v>Ras Cors Caron</v>
      </c>
      <c r="W14" s="20"/>
      <c r="AP14">
        <f>17-COUNTIF(D14:T14,"")</f>
        <v>5</v>
      </c>
      <c r="AQ14" t="str">
        <f>CONCATENATE($C$2,BB14)</f>
        <v>Female10</v>
      </c>
      <c r="AS14" s="25">
        <f>SUM(D14:H14)</f>
        <v>60.11101541141953</v>
      </c>
      <c r="AT14" s="25">
        <f>SUM(I14:M14)</f>
        <v>56.357290422867734</v>
      </c>
      <c r="AU14" s="25">
        <f>SUM(N14:S14)</f>
        <v>109.76663999853417</v>
      </c>
      <c r="AV14" s="25">
        <f>IF($AS14&gt;0,LARGE(D14:H14,1),0)</f>
        <v>60.11101541141953</v>
      </c>
      <c r="AW14" s="25">
        <f>IF($AT14&gt;0,LARGE(I14:M14,1),0)</f>
        <v>56.357290422867734</v>
      </c>
      <c r="AX14" s="25">
        <f>IF($AU14&gt;0,LARGE(N14:S14,1),0)</f>
        <v>57.49285084219492</v>
      </c>
      <c r="AY14" s="25">
        <f>IF('League Summary'!$X$2=1,T14,"")</f>
        <v>52.273789156339255</v>
      </c>
      <c r="AZ14" s="25">
        <f>SUM(AV14:AY14)</f>
        <v>226.23494583282144</v>
      </c>
      <c r="BA14" t="str">
        <f>IF(AND(AV14&gt;0,AW14&gt;0,AX14&gt;0,(AP14&gt;=4)),"Q","NQ")</f>
        <v>Q</v>
      </c>
      <c r="BB14">
        <f>IF(AZ14&gt;0,RANK(AZ14,AZ$8:AZ$86,0),"")</f>
        <v>10</v>
      </c>
      <c r="BC14" t="str">
        <f>A13</f>
        <v>Megan Williams</v>
      </c>
      <c r="BD14">
        <f t="shared" si="5"/>
        <v>42</v>
      </c>
      <c r="BE14" s="24" t="s">
        <v>54</v>
      </c>
      <c r="BF14" s="24">
        <v>13</v>
      </c>
      <c r="BG14" s="24" t="s">
        <v>54</v>
      </c>
      <c r="BK14" s="41">
        <f t="shared" si="0"/>
      </c>
      <c r="BL14">
        <f t="shared" si="1"/>
      </c>
      <c r="BM14">
        <f t="shared" si="2"/>
      </c>
      <c r="BN14">
        <v>14</v>
      </c>
      <c r="BO14" s="108">
        <f t="shared" si="3"/>
        <v>56.357290422867734</v>
      </c>
    </row>
    <row r="15" spans="1:70" ht="13.5" thickBot="1">
      <c r="A15" s="192" t="s">
        <v>210</v>
      </c>
      <c r="B15" s="193">
        <v>32</v>
      </c>
      <c r="C15" s="194" t="s">
        <v>36</v>
      </c>
      <c r="D15" s="195">
        <v>0.01383101851851852</v>
      </c>
      <c r="E15" s="195">
        <v>0</v>
      </c>
      <c r="F15" s="195">
        <v>0.014016203703703704</v>
      </c>
      <c r="G15" s="195">
        <v>0</v>
      </c>
      <c r="H15" s="195">
        <v>0</v>
      </c>
      <c r="I15" s="195">
        <v>0</v>
      </c>
      <c r="J15" s="195">
        <v>0</v>
      </c>
      <c r="K15" s="195">
        <v>0</v>
      </c>
      <c r="L15" s="195">
        <v>0.02221064814814815</v>
      </c>
      <c r="M15" s="195">
        <v>0</v>
      </c>
      <c r="N15" s="195">
        <v>0</v>
      </c>
      <c r="O15" s="195">
        <v>0.11085648148148149</v>
      </c>
      <c r="P15" s="195">
        <v>0</v>
      </c>
      <c r="Q15" s="195">
        <v>0.0665162037037037</v>
      </c>
      <c r="R15" s="195">
        <v>0.0637962962962963</v>
      </c>
      <c r="S15" s="196">
        <v>0.04820601851851852</v>
      </c>
      <c r="T15" s="196">
        <v>0.014016203703703704</v>
      </c>
      <c r="U15" s="197">
        <v>2</v>
      </c>
      <c r="V15" s="198" t="s">
        <v>260</v>
      </c>
      <c r="W15" s="20"/>
      <c r="BC15" t="str">
        <f t="shared" si="4"/>
        <v>Louise Barker</v>
      </c>
      <c r="BD15">
        <f t="shared" si="5"/>
        <v>0</v>
      </c>
      <c r="BJ15">
        <f>IF(BO15&gt;0,"In","")</f>
      </c>
      <c r="BK15" s="41">
        <f t="shared" si="0"/>
      </c>
      <c r="BL15">
        <f t="shared" si="1"/>
      </c>
      <c r="BM15">
        <f t="shared" si="2"/>
      </c>
      <c r="BN15">
        <v>15</v>
      </c>
      <c r="BO15" s="41">
        <f t="shared" si="3"/>
        <v>0</v>
      </c>
      <c r="BP15">
        <f aca="true" t="shared" si="6" ref="BP15:BP65">BO16</f>
      </c>
      <c r="BQ15">
        <f>IF($BJ15="In",A15,"")</f>
      </c>
      <c r="BR15">
        <f>IF($BJ15="In",B15,"")</f>
      </c>
    </row>
    <row r="16" spans="1:67" ht="13.5" thickBot="1">
      <c r="A16" s="58" t="str">
        <f>CONCATENATE(A15,C16)</f>
        <v>Louise BarkerPoints</v>
      </c>
      <c r="B16" s="55"/>
      <c r="C16" s="54" t="s">
        <v>37</v>
      </c>
      <c r="D16" s="56">
        <f>IF(D15&gt;0,VLOOKUP(CONCATENATE($C$2,$B15),'Base Calculation'!$A$5:$O$89,D$5+2,FALSE)/D15*100,"")</f>
        <v>74.96689526210912</v>
      </c>
      <c r="E16" s="56">
        <f>IF(E15&gt;0,VLOOKUP(CONCATENATE($C$2,$B15),'Base Calculation'!$A$5:$O$89,E$5+2,FALSE)/E15*100,"")</f>
      </c>
      <c r="F16" s="56">
        <f>IF(F15&gt;0,VLOOKUP(CONCATENATE($C$2,$B15),'Base Calculation'!$A$5:$O$89,F$5+2,FALSE)/F15*100,"")</f>
        <v>73.97641605137937</v>
      </c>
      <c r="G16" s="56">
        <f>IF(G15&gt;0,VLOOKUP(CONCATENATE($C$2,$B15),'Base Calculation'!$A$5:$O$89,G$5+2,FALSE)/G15*100,"")</f>
      </c>
      <c r="H16" s="56">
        <f>IF(H15&gt;0,VLOOKUP(CONCATENATE($C$2,$B15),'Base Calculation'!$A$5:$O$89,H$5+2,FALSE)/H15*100,"")</f>
      </c>
      <c r="I16" s="56">
        <f>IF(I15&gt;0,VLOOKUP(CONCATENATE($C$2,$B15),'Base Calculation'!$A$5:$O$89,I$5+2,FALSE)/I15*100,"")</f>
      </c>
      <c r="J16" s="56">
        <f>IF(J15&gt;0,VLOOKUP(CONCATENATE($C$2,$B15),'Base Calculation'!$A$5:$O$89,J$5+2,FALSE)/J15*100,"")</f>
      </c>
      <c r="K16" s="56">
        <f>IF(K15&gt;0,VLOOKUP(CONCATENATE($C$2,$B15),'Base Calculation'!$A$5:$O$89,K$5+2,FALSE)/K15*100,"")</f>
      </c>
      <c r="L16" s="56">
        <f>IF(L15&gt;0,VLOOKUP(CONCATENATE($C$2,$B15),'Base Calculation'!$A$5:$O$89,L$5+2,FALSE)/L15*100,"")</f>
        <v>77.29632523680232</v>
      </c>
      <c r="M16" s="56">
        <f>IF(M15&gt;0,VLOOKUP(CONCATENATE($C$2,$B15),'Base Calculation'!$A$5:$O$89,M$5+2,FALSE)/M15*100,"")</f>
      </c>
      <c r="N16" s="56">
        <f>IF(N15&gt;0,VLOOKUP(CONCATENATE($C$2,$B15),'Base Calculation'!$A$5:$O$89,N$5+2,FALSE)/N15*100,"")</f>
      </c>
      <c r="O16" s="56">
        <f>IF(O15&gt;0,VLOOKUP(CONCATENATE($C$2,$B15),'Base Calculation'!$A$5:$O$89,O$5+2,FALSE)/O15*100,"")</f>
        <v>65.48671579396583</v>
      </c>
      <c r="P16" s="56">
        <f>IF(P15&gt;0,VLOOKUP(CONCATENATE($C$2,$B15),'Base Calculation'!$A$5:$O$89,P$5+2,FALSE)/P15*100,"")</f>
      </c>
      <c r="Q16" s="56">
        <f>IF(Q15&gt;0,VLOOKUP(CONCATENATE($C$2,$B15),'Base Calculation'!$A$5:$O$89,Q$5+2,FALSE)/Q15*100,"")</f>
        <v>70.49882094372708</v>
      </c>
      <c r="R16" s="56">
        <f>IF(R15&gt;0,VLOOKUP(CONCATENATE($C$2,$B15),'Base Calculation'!$A$5:$O$89,R$5+2,FALSE)/R15*100,"")</f>
        <v>73.50448547960804</v>
      </c>
      <c r="S16" s="56">
        <f>IF(S15&gt;0,VLOOKUP(CONCATENATE($C$2,$B15),'Base Calculation'!$A$5:$O$89,S$5+2,FALSE)/S15*100,"")</f>
        <v>76.0101816257342</v>
      </c>
      <c r="T16" s="82">
        <f>IF(T15&gt;0,VLOOKUP(CONCATENATE($C$2,$B15),'Base Calculation'!$A$5:$O$89,U15+2,FALSE)/T15*100,"")</f>
        <v>73.97641605137937</v>
      </c>
      <c r="U16" s="86" t="str">
        <f>IF(U15&gt;0,VLOOKUP(U15,BF$2:BG$14,2,FALSE),"")</f>
        <v>5k</v>
      </c>
      <c r="V16" s="87" t="str">
        <f>V15</f>
        <v>Rhayader 2</v>
      </c>
      <c r="W16" s="20"/>
      <c r="AP16">
        <f>17-COUNTIF(D16:T16,"")</f>
        <v>8</v>
      </c>
      <c r="AQ16" t="str">
        <f>CONCATENATE($C$2,BB16)</f>
        <v>Female2</v>
      </c>
      <c r="AS16" s="25">
        <f>SUM(D16:H16)</f>
        <v>148.9433113134885</v>
      </c>
      <c r="AT16" s="25">
        <f>SUM(I16:M16)</f>
        <v>77.29632523680232</v>
      </c>
      <c r="AU16" s="25">
        <f>SUM(N16:S16)</f>
        <v>285.50020384303514</v>
      </c>
      <c r="AV16" s="25">
        <f>IF($AS16&gt;0,LARGE(D16:H16,1),0)</f>
        <v>74.96689526210912</v>
      </c>
      <c r="AW16" s="25">
        <f>IF($AT16&gt;0,LARGE(I16:M16,1),0)</f>
        <v>77.29632523680232</v>
      </c>
      <c r="AX16" s="25">
        <f>IF($AU16&gt;0,LARGE(N16:S16,1),0)</f>
        <v>76.0101816257342</v>
      </c>
      <c r="AY16" s="25">
        <f>IF('League Summary'!$X$2=1,T16,"")</f>
        <v>73.97641605137937</v>
      </c>
      <c r="AZ16" s="25">
        <f>SUM(AV16:AY16)</f>
        <v>302.24981817602503</v>
      </c>
      <c r="BA16" t="str">
        <f>IF(AND(AV16&gt;0,AW16&gt;0,AX16&gt;0,(AP16&gt;=4)),"Q","NQ")</f>
        <v>Q</v>
      </c>
      <c r="BB16">
        <f>IF(AZ16&gt;0,RANK(AZ16,AZ$8:AZ$86,0),"")</f>
        <v>2</v>
      </c>
      <c r="BC16" t="str">
        <f>A15</f>
        <v>Louise Barker</v>
      </c>
      <c r="BD16">
        <f t="shared" si="5"/>
        <v>32</v>
      </c>
      <c r="BK16" s="41">
        <f t="shared" si="0"/>
      </c>
      <c r="BL16">
        <f t="shared" si="1"/>
      </c>
      <c r="BM16">
        <f t="shared" si="2"/>
      </c>
      <c r="BN16">
        <v>16</v>
      </c>
      <c r="BO16" s="108">
        <f t="shared" si="3"/>
      </c>
    </row>
    <row r="17" spans="1:70" ht="13.5" thickBot="1">
      <c r="A17" s="192" t="s">
        <v>211</v>
      </c>
      <c r="B17" s="193">
        <v>30</v>
      </c>
      <c r="C17" s="194" t="s">
        <v>36</v>
      </c>
      <c r="D17" s="195">
        <v>0</v>
      </c>
      <c r="E17" s="195">
        <v>0</v>
      </c>
      <c r="F17" s="195">
        <v>0</v>
      </c>
      <c r="G17" s="195">
        <v>0</v>
      </c>
      <c r="H17" s="195">
        <v>0.016319444444444445</v>
      </c>
      <c r="I17" s="195">
        <v>0</v>
      </c>
      <c r="J17" s="195">
        <v>0</v>
      </c>
      <c r="K17" s="195">
        <v>0.0349537037037037</v>
      </c>
      <c r="L17" s="195">
        <v>0.026608796296296297</v>
      </c>
      <c r="M17" s="195">
        <v>0.03217592592592593</v>
      </c>
      <c r="N17" s="195">
        <v>0</v>
      </c>
      <c r="O17" s="195">
        <v>0.12773148148148147</v>
      </c>
      <c r="P17" s="195">
        <v>0</v>
      </c>
      <c r="Q17" s="195">
        <v>0</v>
      </c>
      <c r="R17" s="195">
        <v>0</v>
      </c>
      <c r="S17" s="196">
        <v>0</v>
      </c>
      <c r="T17" s="196">
        <v>0.05652777777777778</v>
      </c>
      <c r="U17" s="197">
        <v>7</v>
      </c>
      <c r="V17" s="198" t="s">
        <v>240</v>
      </c>
      <c r="W17" s="20"/>
      <c r="BC17" t="str">
        <f t="shared" si="4"/>
        <v>Bridget Parkinson</v>
      </c>
      <c r="BD17">
        <f t="shared" si="5"/>
        <v>0</v>
      </c>
      <c r="BJ17" t="str">
        <f>IF(BO17&gt;0,"In","")</f>
        <v>In</v>
      </c>
      <c r="BK17" s="41">
        <f t="shared" si="0"/>
        <v>0.03217592592592593</v>
      </c>
      <c r="BL17">
        <f t="shared" si="1"/>
        <v>2</v>
      </c>
      <c r="BM17" t="str">
        <f t="shared" si="2"/>
        <v>In2</v>
      </c>
      <c r="BN17">
        <v>17</v>
      </c>
      <c r="BO17" s="41">
        <f t="shared" si="3"/>
        <v>0.03217592592592593</v>
      </c>
      <c r="BP17">
        <f t="shared" si="6"/>
        <v>65.75539568345323</v>
      </c>
      <c r="BQ17" t="str">
        <f>IF($BJ17="In",A17,"")</f>
        <v>Bridget Parkinson</v>
      </c>
      <c r="BR17">
        <f>IF($BJ17="In",B17,"")</f>
        <v>30</v>
      </c>
    </row>
    <row r="18" spans="1:67" ht="13.5" thickBot="1">
      <c r="A18" s="58" t="str">
        <f>CONCATENATE(A17,C18)</f>
        <v>Bridget ParkinsonPoints</v>
      </c>
      <c r="B18" s="55"/>
      <c r="C18" s="54" t="s">
        <v>37</v>
      </c>
      <c r="D18" s="56">
        <f>IF(D17&gt;0,VLOOKUP(CONCATENATE($C$2,$B17),'Base Calculation'!$A$5:$O$89,D$5+2,FALSE)/D17*100,"")</f>
      </c>
      <c r="E18" s="56">
        <f>IF(E17&gt;0,VLOOKUP(CONCATENATE($C$2,$B17),'Base Calculation'!$A$5:$O$89,E$5+2,FALSE)/E17*100,"")</f>
      </c>
      <c r="F18" s="56">
        <f>IF(F17&gt;0,VLOOKUP(CONCATENATE($C$2,$B17),'Base Calculation'!$A$5:$O$89,F$5+2,FALSE)/F17*100,"")</f>
      </c>
      <c r="G18" s="56">
        <f>IF(G17&gt;0,VLOOKUP(CONCATENATE($C$2,$B17),'Base Calculation'!$A$5:$O$89,G$5+2,FALSE)/G17*100,"")</f>
      </c>
      <c r="H18" s="56">
        <f>IF(H17&gt;0,VLOOKUP(CONCATENATE($C$2,$B17),'Base Calculation'!$A$5:$O$89,H$5+2,FALSE)/H17*100,"")</f>
        <v>62.8368794326241</v>
      </c>
      <c r="I18" s="56">
        <f>IF(I17&gt;0,VLOOKUP(CONCATENATE($C$2,$B17),'Base Calculation'!$A$5:$O$89,I$5+2,FALSE)/I17*100,"")</f>
      </c>
      <c r="J18" s="56">
        <f>IF(J17&gt;0,VLOOKUP(CONCATENATE($C$2,$B17),'Base Calculation'!$A$5:$O$89,J$5+2,FALSE)/J17*100,"")</f>
      </c>
      <c r="K18" s="56">
        <f>IF(K17&gt;0,VLOOKUP(CONCATENATE($C$2,$B17),'Base Calculation'!$A$5:$O$89,K$5+2,FALSE)/K17*100,"")</f>
        <v>60.52980132450331</v>
      </c>
      <c r="L18" s="56">
        <f>IF(L17&gt;0,VLOOKUP(CONCATENATE($C$2,$B17),'Base Calculation'!$A$5:$O$89,L$5+2,FALSE)/L17*100,"")</f>
        <v>63.81035232709874</v>
      </c>
      <c r="M18" s="56">
        <f>IF(M17&gt;0,VLOOKUP(CONCATENATE($C$2,$B17),'Base Calculation'!$A$5:$O$89,M$5+2,FALSE)/M17*100,"")</f>
        <v>65.75539568345323</v>
      </c>
      <c r="N18" s="56">
        <f>IF(N17&gt;0,VLOOKUP(CONCATENATE($C$2,$B17),'Base Calculation'!$A$5:$O$89,N$5+2,FALSE)/N17*100,"")</f>
      </c>
      <c r="O18" s="56">
        <f>IF(O17&gt;0,VLOOKUP(CONCATENATE($C$2,$B17),'Base Calculation'!$A$5:$O$89,O$5+2,FALSE)/O17*100,"")</f>
        <v>56.297571583907214</v>
      </c>
      <c r="P18" s="56">
        <f>IF(P17&gt;0,VLOOKUP(CONCATENATE($C$2,$B17),'Base Calculation'!$A$5:$O$89,P$5+2,FALSE)/P17*100,"")</f>
      </c>
      <c r="Q18" s="56">
        <f>IF(Q17&gt;0,VLOOKUP(CONCATENATE($C$2,$B17),'Base Calculation'!$A$5:$O$89,Q$5+2,FALSE)/Q17*100,"")</f>
      </c>
      <c r="R18" s="56">
        <f>IF(R17&gt;0,VLOOKUP(CONCATENATE($C$2,$B17),'Base Calculation'!$A$5:$O$89,R$5+2,FALSE)/R17*100,"")</f>
      </c>
      <c r="S18" s="56">
        <f>IF(S17&gt;0,VLOOKUP(CONCATENATE($C$2,$B17),'Base Calculation'!$A$5:$O$89,S$5+2,FALSE)/S17*100,"")</f>
      </c>
      <c r="T18" s="82">
        <f>IF(T17&gt;0,VLOOKUP(CONCATENATE($C$2,$B17),'Base Calculation'!$A$5:$O$89,U17+2,FALSE)/T17*100,"")</f>
        <v>64.1072891072891</v>
      </c>
      <c r="U18" s="86" t="str">
        <f>IF(U17&gt;0,VLOOKUP(U17,BF$2:BG$14,2,FALSE),"")</f>
        <v>10 Mile</v>
      </c>
      <c r="V18" s="87" t="str">
        <f>V17</f>
        <v>Pontypridd reverse 10 mile</v>
      </c>
      <c r="W18" s="20"/>
      <c r="AP18">
        <f>17-COUNTIF(D18:T18,"")</f>
        <v>6</v>
      </c>
      <c r="AQ18" t="str">
        <f>CONCATENATE($C$2,BB18)</f>
        <v>Female7</v>
      </c>
      <c r="AS18" s="25">
        <f>SUM(D18:H18)</f>
        <v>62.8368794326241</v>
      </c>
      <c r="AT18" s="25">
        <f>SUM(I18:M18)</f>
        <v>190.0955493350553</v>
      </c>
      <c r="AU18" s="25">
        <f>SUM(N18:S18)</f>
        <v>56.297571583907214</v>
      </c>
      <c r="AV18" s="25">
        <f>IF($AS18&gt;0,LARGE(D18:H18,1),0)</f>
        <v>62.8368794326241</v>
      </c>
      <c r="AW18" s="25">
        <f>IF($AT18&gt;0,LARGE(I18:M18,1),0)</f>
        <v>65.75539568345323</v>
      </c>
      <c r="AX18" s="25">
        <f>IF($AU18&gt;0,LARGE(N18:S18,1),0)</f>
        <v>56.297571583907214</v>
      </c>
      <c r="AY18" s="25">
        <f>IF('League Summary'!$X$2=1,T18,"")</f>
        <v>64.1072891072891</v>
      </c>
      <c r="AZ18" s="25">
        <f>SUM(AV18:AY18)</f>
        <v>248.99713580727365</v>
      </c>
      <c r="BA18" t="str">
        <f>IF(AND(AV18&gt;0,AW18&gt;0,AX18&gt;0,(AP18&gt;=4)),"Q","NQ")</f>
        <v>Q</v>
      </c>
      <c r="BB18">
        <f>IF(AZ18&gt;0,RANK(AZ18,AZ$8:AZ$86,0),"")</f>
        <v>7</v>
      </c>
      <c r="BC18" t="str">
        <f>A17</f>
        <v>Bridget Parkinson</v>
      </c>
      <c r="BD18">
        <f t="shared" si="5"/>
        <v>30</v>
      </c>
      <c r="BK18" s="41">
        <f t="shared" si="0"/>
      </c>
      <c r="BL18">
        <f t="shared" si="1"/>
      </c>
      <c r="BM18">
        <f t="shared" si="2"/>
      </c>
      <c r="BN18">
        <v>18</v>
      </c>
      <c r="BO18" s="108">
        <f t="shared" si="3"/>
        <v>65.75539568345323</v>
      </c>
    </row>
    <row r="19" spans="1:70" ht="13.5" thickBot="1">
      <c r="A19" s="192" t="s">
        <v>216</v>
      </c>
      <c r="B19" s="193">
        <v>30</v>
      </c>
      <c r="C19" s="194" t="s">
        <v>36</v>
      </c>
      <c r="D19" s="195">
        <v>0.014918981481481483</v>
      </c>
      <c r="E19" s="195">
        <v>0</v>
      </c>
      <c r="F19" s="195">
        <v>0</v>
      </c>
      <c r="G19" s="195">
        <v>0</v>
      </c>
      <c r="H19" s="195">
        <v>0</v>
      </c>
      <c r="I19" s="195">
        <v>0.02349537037037037</v>
      </c>
      <c r="J19" s="195">
        <v>0.030486111111111113</v>
      </c>
      <c r="K19" s="195">
        <v>0.031481481481481485</v>
      </c>
      <c r="L19" s="195">
        <v>0.023217592592592592</v>
      </c>
      <c r="M19" s="195">
        <v>0.03099537037037037</v>
      </c>
      <c r="N19" s="195">
        <v>0</v>
      </c>
      <c r="O19" s="195">
        <v>0</v>
      </c>
      <c r="P19" s="195">
        <v>0</v>
      </c>
      <c r="Q19" s="195">
        <v>0</v>
      </c>
      <c r="R19" s="195">
        <v>0</v>
      </c>
      <c r="S19" s="196">
        <v>0</v>
      </c>
      <c r="T19" s="196">
        <v>0</v>
      </c>
      <c r="U19" s="197"/>
      <c r="V19" s="198"/>
      <c r="W19" s="20"/>
      <c r="BC19" t="str">
        <f t="shared" si="4"/>
        <v>Anita Saycell</v>
      </c>
      <c r="BD19">
        <f t="shared" si="5"/>
        <v>0</v>
      </c>
      <c r="BJ19" t="str">
        <f>IF(BO19&gt;0,"In","")</f>
        <v>In</v>
      </c>
      <c r="BK19" s="41">
        <f t="shared" si="0"/>
        <v>0.03099537037037037</v>
      </c>
      <c r="BL19">
        <f t="shared" si="1"/>
        <v>1</v>
      </c>
      <c r="BM19" t="str">
        <f t="shared" si="2"/>
        <v>In1</v>
      </c>
      <c r="BN19">
        <v>19</v>
      </c>
      <c r="BO19" s="41">
        <f t="shared" si="3"/>
        <v>0.03099537037037037</v>
      </c>
      <c r="BP19">
        <f t="shared" si="6"/>
        <v>68.25989544436146</v>
      </c>
      <c r="BQ19" t="str">
        <f>IF($BJ19="In",A19,"")</f>
        <v>Anita Saycell</v>
      </c>
      <c r="BR19">
        <f>IF($BJ19="In",B19,"")</f>
        <v>30</v>
      </c>
    </row>
    <row r="20" spans="1:67" ht="13.5" thickBot="1">
      <c r="A20" s="58" t="str">
        <f>CONCATENATE(A19,C20)</f>
        <v>Anita SaycellPoints</v>
      </c>
      <c r="B20" s="55"/>
      <c r="C20" s="54" t="s">
        <v>37</v>
      </c>
      <c r="D20" s="56">
        <f>IF(D19&gt;0,VLOOKUP(CONCATENATE($C$2,$B19),'Base Calculation'!$A$5:$O$89,D$5+2,FALSE)/D19*100,"")</f>
        <v>68.73545384018618</v>
      </c>
      <c r="E20" s="56">
        <f>IF(E19&gt;0,VLOOKUP(CONCATENATE($C$2,$B19),'Base Calculation'!$A$5:$O$89,E$5+2,FALSE)/E19*100,"")</f>
      </c>
      <c r="F20" s="56">
        <f>IF(F19&gt;0,VLOOKUP(CONCATENATE($C$2,$B19),'Base Calculation'!$A$5:$O$89,F$5+2,FALSE)/F19*100,"")</f>
      </c>
      <c r="G20" s="56">
        <f>IF(G19&gt;0,VLOOKUP(CONCATENATE($C$2,$B19),'Base Calculation'!$A$5:$O$89,G$5+2,FALSE)/G19*100,"")</f>
      </c>
      <c r="H20" s="56">
        <f>IF(H19&gt;0,VLOOKUP(CONCATENATE($C$2,$B19),'Base Calculation'!$A$5:$O$89,H$5+2,FALSE)/H19*100,"")</f>
      </c>
      <c r="I20" s="56">
        <f>IF(I19&gt;0,VLOOKUP(CONCATENATE($C$2,$B19),'Base Calculation'!$A$5:$O$89,I$5+2,FALSE)/I19*100,"")</f>
        <v>72.26600985221675</v>
      </c>
      <c r="J20" s="56">
        <f>IF(J19&gt;0,VLOOKUP(CONCATENATE($C$2,$B19),'Base Calculation'!$A$5:$O$89,J$5+2,FALSE)/J19*100,"")</f>
        <v>69.40015186028853</v>
      </c>
      <c r="K20" s="56">
        <f>IF(K19&gt;0,VLOOKUP(CONCATENATE($C$2,$B19),'Base Calculation'!$A$5:$O$89,K$5+2,FALSE)/K19*100,"")</f>
        <v>67.20588235294116</v>
      </c>
      <c r="L20" s="56">
        <f>IF(L19&gt;0,VLOOKUP(CONCATENATE($C$2,$B19),'Base Calculation'!$A$5:$O$89,L$5+2,FALSE)/L19*100,"")</f>
        <v>73.13060817547358</v>
      </c>
      <c r="M20" s="56">
        <f>IF(M19&gt;0,VLOOKUP(CONCATENATE($C$2,$B19),'Base Calculation'!$A$5:$O$89,M$5+2,FALSE)/M19*100,"")</f>
        <v>68.25989544436146</v>
      </c>
      <c r="N20" s="56">
        <f>IF(N19&gt;0,VLOOKUP(CONCATENATE($C$2,$B19),'Base Calculation'!$A$5:$O$89,N$5+2,FALSE)/N19*100,"")</f>
      </c>
      <c r="O20" s="56">
        <f>IF(O19&gt;0,VLOOKUP(CONCATENATE($C$2,$B19),'Base Calculation'!$A$5:$O$89,O$5+2,FALSE)/O19*100,"")</f>
      </c>
      <c r="P20" s="56">
        <f>IF(P19&gt;0,VLOOKUP(CONCATENATE($C$2,$B19),'Base Calculation'!$A$5:$O$89,P$5+2,FALSE)/P19*100,"")</f>
      </c>
      <c r="Q20" s="56">
        <f>IF(Q19&gt;0,VLOOKUP(CONCATENATE($C$2,$B19),'Base Calculation'!$A$5:$O$89,Q$5+2,FALSE)/Q19*100,"")</f>
      </c>
      <c r="R20" s="56">
        <f>IF(R19&gt;0,VLOOKUP(CONCATENATE($C$2,$B19),'Base Calculation'!$A$5:$O$89,R$5+2,FALSE)/R19*100,"")</f>
      </c>
      <c r="S20" s="56">
        <f>IF(S19&gt;0,VLOOKUP(CONCATENATE($C$2,$B19),'Base Calculation'!$A$5:$O$89,S$5+2,FALSE)/S19*100,"")</f>
      </c>
      <c r="T20" s="82">
        <f>IF(T19&gt;0,VLOOKUP(CONCATENATE($C$2,$B19),'Base Calculation'!$A$5:$O$89,U19+2,FALSE)/T19*100,"")</f>
      </c>
      <c r="U20" s="86">
        <f>IF(U19&gt;0,VLOOKUP(U19,BF$2:BG$14,2,FALSE),"")</f>
      </c>
      <c r="V20" s="87">
        <f>V19</f>
        <v>0</v>
      </c>
      <c r="W20" s="20"/>
      <c r="AP20">
        <f>17-COUNTIF(D20:T20,"")</f>
        <v>6</v>
      </c>
      <c r="AQ20" t="str">
        <f>CONCATENATE($C$2,BB20)</f>
        <v>Female12</v>
      </c>
      <c r="AS20" s="25">
        <f>SUM(D20:H20)</f>
        <v>68.73545384018618</v>
      </c>
      <c r="AT20" s="25">
        <f>SUM(I20:M20)</f>
        <v>350.2625476852815</v>
      </c>
      <c r="AU20" s="25">
        <f>SUM(N20:S20)</f>
        <v>0</v>
      </c>
      <c r="AV20" s="25">
        <f>IF($AS20&gt;0,LARGE(D20:H20,1),0)</f>
        <v>68.73545384018618</v>
      </c>
      <c r="AW20" s="25">
        <f>IF($AT20&gt;0,LARGE(I20:M20,1),0)</f>
        <v>73.13060817547358</v>
      </c>
      <c r="AX20" s="25">
        <f>IF($AU20&gt;0,LARGE(N20:S20,1),0)</f>
        <v>0</v>
      </c>
      <c r="AY20" s="25">
        <f>IF('League Summary'!$X$2=1,T20,"")</f>
      </c>
      <c r="AZ20" s="25">
        <f>SUM(AV20:AY20)</f>
        <v>141.86606201565976</v>
      </c>
      <c r="BA20" t="str">
        <f>IF(AND(AV20&gt;0,AW20&gt;0,AX20&gt;0,(AP20&gt;=4)),"Q","NQ")</f>
        <v>NQ</v>
      </c>
      <c r="BB20">
        <f>IF(AZ20&gt;0,RANK(AZ20,AZ$8:AZ$86,0),"")</f>
        <v>12</v>
      </c>
      <c r="BC20" t="str">
        <f>A19</f>
        <v>Anita Saycell</v>
      </c>
      <c r="BD20">
        <f t="shared" si="5"/>
        <v>30</v>
      </c>
      <c r="BK20" s="41">
        <f t="shared" si="0"/>
      </c>
      <c r="BL20">
        <f t="shared" si="1"/>
      </c>
      <c r="BM20">
        <f t="shared" si="2"/>
      </c>
      <c r="BN20">
        <v>20</v>
      </c>
      <c r="BO20" s="108">
        <f t="shared" si="3"/>
        <v>68.25989544436146</v>
      </c>
    </row>
    <row r="21" spans="1:70" ht="13.5" thickBot="1">
      <c r="A21" s="192" t="s">
        <v>217</v>
      </c>
      <c r="B21" s="193">
        <v>46</v>
      </c>
      <c r="C21" s="194" t="s">
        <v>36</v>
      </c>
      <c r="D21" s="195">
        <v>0</v>
      </c>
      <c r="E21" s="195">
        <v>0</v>
      </c>
      <c r="F21" s="195">
        <v>0</v>
      </c>
      <c r="G21" s="195">
        <v>0</v>
      </c>
      <c r="H21" s="195">
        <v>0.016261574074074074</v>
      </c>
      <c r="I21" s="195">
        <v>0</v>
      </c>
      <c r="J21" s="195">
        <v>0.03391203703703704</v>
      </c>
      <c r="K21" s="195">
        <v>0</v>
      </c>
      <c r="L21" s="195">
        <v>0</v>
      </c>
      <c r="M21" s="195">
        <v>0.033854166666666664</v>
      </c>
      <c r="N21" s="195">
        <v>0</v>
      </c>
      <c r="O21" s="195">
        <v>0</v>
      </c>
      <c r="P21" s="195">
        <v>0.05990740740740741</v>
      </c>
      <c r="Q21" s="195">
        <v>0</v>
      </c>
      <c r="R21" s="195">
        <v>0.0846875</v>
      </c>
      <c r="S21" s="196">
        <v>0.058460648148148144</v>
      </c>
      <c r="T21" s="196">
        <v>0.07721064814814814</v>
      </c>
      <c r="U21" s="197">
        <v>9</v>
      </c>
      <c r="V21" s="198" t="s">
        <v>218</v>
      </c>
      <c r="W21" s="20"/>
      <c r="BC21" t="str">
        <f t="shared" si="4"/>
        <v>Helen Williams</v>
      </c>
      <c r="BD21">
        <f t="shared" si="5"/>
        <v>0</v>
      </c>
      <c r="BJ21" t="str">
        <f>IF(BO21&gt;0,"In","")</f>
        <v>In</v>
      </c>
      <c r="BK21" s="41">
        <f t="shared" si="0"/>
        <v>0.033854166666666664</v>
      </c>
      <c r="BL21">
        <f t="shared" si="1"/>
        <v>8</v>
      </c>
      <c r="BM21" t="str">
        <f t="shared" si="2"/>
        <v>In8</v>
      </c>
      <c r="BN21">
        <v>21</v>
      </c>
      <c r="BO21" s="41">
        <f t="shared" si="3"/>
        <v>0.033854166666666664</v>
      </c>
      <c r="BP21">
        <f t="shared" si="6"/>
        <v>69.67193589267168</v>
      </c>
      <c r="BQ21" t="str">
        <f>IF($BJ21="In",A21,"")</f>
        <v>Helen Williams</v>
      </c>
      <c r="BR21">
        <f>IF($BJ21="In",B21,"")</f>
        <v>46</v>
      </c>
    </row>
    <row r="22" spans="1:67" ht="13.5" thickBot="1">
      <c r="A22" s="58" t="str">
        <f>CONCATENATE(A21,C22)</f>
        <v>Helen WilliamsPoints</v>
      </c>
      <c r="B22" s="55"/>
      <c r="C22" s="54" t="s">
        <v>37</v>
      </c>
      <c r="D22" s="56">
        <f>IF(D21&gt;0,VLOOKUP(CONCATENATE($C$2,$B21),'Base Calculation'!$A$5:$O$89,D$5+2,FALSE)/D21*100,"")</f>
      </c>
      <c r="E22" s="56">
        <f>IF(E21&gt;0,VLOOKUP(CONCATENATE($C$2,$B21),'Base Calculation'!$A$5:$O$89,E$5+2,FALSE)/E21*100,"")</f>
      </c>
      <c r="F22" s="56">
        <f>IF(F21&gt;0,VLOOKUP(CONCATENATE($C$2,$B21),'Base Calculation'!$A$5:$O$89,F$5+2,FALSE)/F21*100,"")</f>
      </c>
      <c r="G22" s="56">
        <f>IF(G21&gt;0,VLOOKUP(CONCATENATE($C$2,$B21),'Base Calculation'!$A$5:$O$89,G$5+2,FALSE)/G21*100,"")</f>
      </c>
      <c r="H22" s="56">
        <f>IF(H21&gt;0,VLOOKUP(CONCATENATE($C$2,$B21),'Base Calculation'!$A$5:$O$89,H$5+2,FALSE)/H21*100,"")</f>
        <v>70.3015587744042</v>
      </c>
      <c r="I22" s="56">
        <f>IF(I21&gt;0,VLOOKUP(CONCATENATE($C$2,$B21),'Base Calculation'!$A$5:$O$89,I$5+2,FALSE)/I21*100,"")</f>
      </c>
      <c r="J22" s="56">
        <f>IF(J21&gt;0,VLOOKUP(CONCATENATE($C$2,$B21),'Base Calculation'!$A$5:$O$89,J$5+2,FALSE)/J21*100,"")</f>
        <v>69.55304180411763</v>
      </c>
      <c r="K22" s="56">
        <f>IF(K21&gt;0,VLOOKUP(CONCATENATE($C$2,$B21),'Base Calculation'!$A$5:$O$89,K$5+2,FALSE)/K21*100,"")</f>
      </c>
      <c r="L22" s="56">
        <f>IF(L21&gt;0,VLOOKUP(CONCATENATE($C$2,$B21),'Base Calculation'!$A$5:$O$89,L$5+2,FALSE)/L21*100,"")</f>
      </c>
      <c r="M22" s="56">
        <f>IF(M21&gt;0,VLOOKUP(CONCATENATE($C$2,$B21),'Base Calculation'!$A$5:$O$89,M$5+2,FALSE)/M21*100,"")</f>
        <v>69.67193589267168</v>
      </c>
      <c r="N22" s="56">
        <f>IF(N21&gt;0,VLOOKUP(CONCATENATE($C$2,$B21),'Base Calculation'!$A$5:$O$89,N$5+2,FALSE)/N21*100,"")</f>
      </c>
      <c r="O22" s="56">
        <f>IF(O21&gt;0,VLOOKUP(CONCATENATE($C$2,$B21),'Base Calculation'!$A$5:$O$89,O$5+2,FALSE)/O21*100,"")</f>
      </c>
      <c r="P22" s="56">
        <f>IF(P21&gt;0,VLOOKUP(CONCATENATE($C$2,$B21),'Base Calculation'!$A$5:$O$89,P$5+2,FALSE)/P21*100,"")</f>
        <v>67.43670727945977</v>
      </c>
      <c r="Q22" s="56">
        <f>IF(Q21&gt;0,VLOOKUP(CONCATENATE($C$2,$B21),'Base Calculation'!$A$5:$O$89,Q$5+2,FALSE)/Q21*100,"")</f>
      </c>
      <c r="R22" s="56">
        <f>IF(R21&gt;0,VLOOKUP(CONCATENATE($C$2,$B21),'Base Calculation'!$A$5:$O$89,R$5+2,FALSE)/R21*100,"")</f>
        <v>61.051149344640976</v>
      </c>
      <c r="S22" s="56">
        <f>IF(S21&gt;0,VLOOKUP(CONCATENATE($C$2,$B21),'Base Calculation'!$A$5:$O$89,S$5+2,FALSE)/S21*100,"")</f>
        <v>69.10560223292097</v>
      </c>
      <c r="T22" s="82">
        <f>IF(T21&gt;0,VLOOKUP(CONCATENATE($C$2,$B21),'Base Calculation'!$A$5:$O$89,U21+2,FALSE)/T21*100,"")</f>
        <v>66.96316290732095</v>
      </c>
      <c r="U22" s="86" t="str">
        <f>IF(U21&gt;0,VLOOKUP(U21,BF$2:BG$14,2,FALSE),"")</f>
        <v>Half Marathon</v>
      </c>
      <c r="V22" s="87" t="str">
        <f>V21</f>
        <v>Llanelli Half Marathon</v>
      </c>
      <c r="W22" s="20"/>
      <c r="AP22">
        <f>17-COUNTIF(D22:T22,"")</f>
        <v>7</v>
      </c>
      <c r="AQ22" t="str">
        <f>CONCATENATE($C$2,BB22)</f>
        <v>Female5</v>
      </c>
      <c r="AS22" s="25">
        <f>SUM(D22:H22)</f>
        <v>70.3015587744042</v>
      </c>
      <c r="AT22" s="25">
        <f>SUM(I22:M22)</f>
        <v>139.22497769678932</v>
      </c>
      <c r="AU22" s="25">
        <f>SUM(N22:S22)</f>
        <v>197.59345885702172</v>
      </c>
      <c r="AV22" s="25">
        <f>IF($AS22&gt;0,LARGE(D22:H22,1),0)</f>
        <v>70.3015587744042</v>
      </c>
      <c r="AW22" s="25">
        <f>IF($AT22&gt;0,LARGE(I22:M22,1),0)</f>
        <v>69.67193589267168</v>
      </c>
      <c r="AX22" s="25">
        <f>IF($AU22&gt;0,LARGE(N22:S22,1),0)</f>
        <v>69.10560223292097</v>
      </c>
      <c r="AY22" s="25">
        <f>IF('League Summary'!$X$2=1,T22,"")</f>
        <v>66.96316290732095</v>
      </c>
      <c r="AZ22" s="25">
        <f>SUM(AV22:AY22)</f>
        <v>276.0422598073178</v>
      </c>
      <c r="BA22" t="str">
        <f>IF(AND(AV22&gt;0,AW22&gt;0,AX22&gt;0,(AP22&gt;=4)),"Q","NQ")</f>
        <v>Q</v>
      </c>
      <c r="BB22">
        <f>IF(AZ22&gt;0,RANK(AZ22,AZ$8:AZ$86,0),"")</f>
        <v>5</v>
      </c>
      <c r="BC22" t="str">
        <f>A21</f>
        <v>Helen Williams</v>
      </c>
      <c r="BD22">
        <f t="shared" si="5"/>
        <v>46</v>
      </c>
      <c r="BK22" s="41">
        <f t="shared" si="0"/>
      </c>
      <c r="BL22">
        <f t="shared" si="1"/>
      </c>
      <c r="BM22">
        <f t="shared" si="2"/>
      </c>
      <c r="BN22">
        <v>22</v>
      </c>
      <c r="BO22" s="108">
        <f t="shared" si="3"/>
        <v>69.67193589267168</v>
      </c>
    </row>
    <row r="23" spans="1:70" ht="13.5" thickBot="1">
      <c r="A23" s="192" t="s">
        <v>228</v>
      </c>
      <c r="B23" s="193">
        <v>30</v>
      </c>
      <c r="C23" s="194" t="s">
        <v>36</v>
      </c>
      <c r="D23" s="195">
        <v>0</v>
      </c>
      <c r="E23" s="195">
        <v>0.020671296296296295</v>
      </c>
      <c r="F23" s="195">
        <v>0</v>
      </c>
      <c r="G23" s="195">
        <v>0</v>
      </c>
      <c r="H23" s="195">
        <v>0</v>
      </c>
      <c r="I23" s="195">
        <v>0</v>
      </c>
      <c r="J23" s="195">
        <v>0</v>
      </c>
      <c r="K23" s="195">
        <v>0</v>
      </c>
      <c r="L23" s="195">
        <v>0</v>
      </c>
      <c r="M23" s="195">
        <v>0.044826388888888895</v>
      </c>
      <c r="N23" s="195">
        <v>0</v>
      </c>
      <c r="O23" s="195">
        <v>0</v>
      </c>
      <c r="P23" s="195">
        <v>0</v>
      </c>
      <c r="Q23" s="195">
        <v>0</v>
      </c>
      <c r="R23" s="195">
        <v>0</v>
      </c>
      <c r="S23" s="196">
        <v>0</v>
      </c>
      <c r="T23" s="196">
        <v>0</v>
      </c>
      <c r="U23" s="197"/>
      <c r="V23" s="198"/>
      <c r="W23" s="20"/>
      <c r="BC23" t="str">
        <f t="shared" si="4"/>
        <v>Sarah Birch</v>
      </c>
      <c r="BD23">
        <f t="shared" si="5"/>
        <v>0</v>
      </c>
      <c r="BJ23" t="str">
        <f>IF(BO23&gt;0,"In","")</f>
        <v>In</v>
      </c>
      <c r="BK23" s="41">
        <f t="shared" si="0"/>
        <v>0.044826388888888895</v>
      </c>
      <c r="BL23">
        <f t="shared" si="1"/>
        <v>18</v>
      </c>
      <c r="BM23" t="str">
        <f t="shared" si="2"/>
        <v>In18</v>
      </c>
      <c r="BN23">
        <v>23</v>
      </c>
      <c r="BO23" s="41">
        <f t="shared" si="3"/>
        <v>0.044826388888888895</v>
      </c>
      <c r="BP23">
        <f t="shared" si="6"/>
        <v>47.1985540924348</v>
      </c>
      <c r="BQ23" t="str">
        <f>IF($BJ23="In",A23,"")</f>
        <v>Sarah Birch</v>
      </c>
      <c r="BR23">
        <f>IF($BJ23="In",B23,"")</f>
        <v>30</v>
      </c>
    </row>
    <row r="24" spans="1:67" ht="13.5" thickBot="1">
      <c r="A24" s="58" t="str">
        <f>CONCATENATE(A23,C24)</f>
        <v>Sarah BirchPoints</v>
      </c>
      <c r="B24" s="55"/>
      <c r="C24" s="54" t="s">
        <v>37</v>
      </c>
      <c r="D24" s="56">
        <f>IF(D23&gt;0,VLOOKUP(CONCATENATE($C$2,$B23),'Base Calculation'!$A$5:$O$89,D$5+2,FALSE)/D23*100,"")</f>
      </c>
      <c r="E24" s="56">
        <f>IF(E23&gt;0,VLOOKUP(CONCATENATE($C$2,$B23),'Base Calculation'!$A$5:$O$89,E$5+2,FALSE)/E23*100,"")</f>
        <v>49.608062709966404</v>
      </c>
      <c r="F24" s="56">
        <f>IF(F23&gt;0,VLOOKUP(CONCATENATE($C$2,$B23),'Base Calculation'!$A$5:$O$89,F$5+2,FALSE)/F23*100,"")</f>
      </c>
      <c r="G24" s="56">
        <f>IF(G23&gt;0,VLOOKUP(CONCATENATE($C$2,$B23),'Base Calculation'!$A$5:$O$89,G$5+2,FALSE)/G23*100,"")</f>
      </c>
      <c r="H24" s="56">
        <f>IF(H23&gt;0,VLOOKUP(CONCATENATE($C$2,$B23),'Base Calculation'!$A$5:$O$89,H$5+2,FALSE)/H23*100,"")</f>
      </c>
      <c r="I24" s="56">
        <f>IF(I23&gt;0,VLOOKUP(CONCATENATE($C$2,$B23),'Base Calculation'!$A$5:$O$89,I$5+2,FALSE)/I23*100,"")</f>
      </c>
      <c r="J24" s="56">
        <f>IF(J23&gt;0,VLOOKUP(CONCATENATE($C$2,$B23),'Base Calculation'!$A$5:$O$89,J$5+2,FALSE)/J23*100,"")</f>
      </c>
      <c r="K24" s="56">
        <f>IF(K23&gt;0,VLOOKUP(CONCATENATE($C$2,$B23),'Base Calculation'!$A$5:$O$89,K$5+2,FALSE)/K23*100,"")</f>
      </c>
      <c r="L24" s="56">
        <f>IF(L23&gt;0,VLOOKUP(CONCATENATE($C$2,$B23),'Base Calculation'!$A$5:$O$89,L$5+2,FALSE)/L23*100,"")</f>
      </c>
      <c r="M24" s="56">
        <f>IF(M23&gt;0,VLOOKUP(CONCATENATE($C$2,$B23),'Base Calculation'!$A$5:$O$89,M$5+2,FALSE)/M23*100,"")</f>
        <v>47.1985540924348</v>
      </c>
      <c r="N24" s="56">
        <f>IF(N23&gt;0,VLOOKUP(CONCATENATE($C$2,$B23),'Base Calculation'!$A$5:$O$89,N$5+2,FALSE)/N23*100,"")</f>
      </c>
      <c r="O24" s="56">
        <f>IF(O23&gt;0,VLOOKUP(CONCATENATE($C$2,$B23),'Base Calculation'!$A$5:$O$89,O$5+2,FALSE)/O23*100,"")</f>
      </c>
      <c r="P24" s="56">
        <f>IF(P23&gt;0,VLOOKUP(CONCATENATE($C$2,$B23),'Base Calculation'!$A$5:$O$89,P$5+2,FALSE)/P23*100,"")</f>
      </c>
      <c r="Q24" s="56">
        <f>IF(Q23&gt;0,VLOOKUP(CONCATENATE($C$2,$B23),'Base Calculation'!$A$5:$O$89,Q$5+2,FALSE)/Q23*100,"")</f>
      </c>
      <c r="R24" s="56">
        <f>IF(R23&gt;0,VLOOKUP(CONCATENATE($C$2,$B23),'Base Calculation'!$A$5:$O$89,R$5+2,FALSE)/R23*100,"")</f>
      </c>
      <c r="S24" s="56">
        <f>IF(S23&gt;0,VLOOKUP(CONCATENATE($C$2,$B23),'Base Calculation'!$A$5:$O$89,S$5+2,FALSE)/S23*100,"")</f>
      </c>
      <c r="T24" s="82">
        <f>IF(T23&gt;0,VLOOKUP(CONCATENATE($C$2,$B23),'Base Calculation'!$A$5:$O$89,U23+2,FALSE)/T23*100,"")</f>
      </c>
      <c r="U24" s="86">
        <f>IF(U23&gt;0,VLOOKUP(U23,BF$2:BG$14,2,FALSE),"")</f>
      </c>
      <c r="V24" s="87">
        <f>V23</f>
        <v>0</v>
      </c>
      <c r="W24" s="20"/>
      <c r="AP24">
        <f>17-COUNTIF(D24:T24,"")</f>
        <v>2</v>
      </c>
      <c r="AQ24" t="str">
        <f>CONCATENATE($C$2,BB24)</f>
        <v>Female19</v>
      </c>
      <c r="AS24" s="25">
        <f>SUM(D24:H24)</f>
        <v>49.608062709966404</v>
      </c>
      <c r="AT24" s="25">
        <f>SUM(I24:M24)</f>
        <v>47.1985540924348</v>
      </c>
      <c r="AU24" s="25">
        <f>SUM(N24:S24)</f>
        <v>0</v>
      </c>
      <c r="AV24" s="25">
        <f>IF($AS24&gt;0,LARGE(D24:H24,1),0)</f>
        <v>49.608062709966404</v>
      </c>
      <c r="AW24" s="25">
        <f>IF($AT24&gt;0,LARGE(I24:M24,1),0)</f>
        <v>47.1985540924348</v>
      </c>
      <c r="AX24" s="25">
        <f>IF($AU24&gt;0,LARGE(N24:S24,1),0)</f>
        <v>0</v>
      </c>
      <c r="AY24" s="25">
        <f>IF('League Summary'!$X$2=1,T24,"")</f>
      </c>
      <c r="AZ24" s="25">
        <f>SUM(AV24:AY24)</f>
        <v>96.80661680240121</v>
      </c>
      <c r="BA24" t="str">
        <f>IF(AND(AV24&gt;0,AW24&gt;0,AX24&gt;0,(AP24&gt;=4)),"Q","NQ")</f>
        <v>NQ</v>
      </c>
      <c r="BB24">
        <f>IF(AZ24&gt;0,RANK(AZ24,AZ$8:AZ$86,0),"")</f>
        <v>19</v>
      </c>
      <c r="BC24" t="str">
        <f>A23</f>
        <v>Sarah Birch</v>
      </c>
      <c r="BD24">
        <f t="shared" si="5"/>
        <v>30</v>
      </c>
      <c r="BK24" s="41">
        <f t="shared" si="0"/>
      </c>
      <c r="BL24">
        <f t="shared" si="1"/>
      </c>
      <c r="BM24">
        <f t="shared" si="2"/>
      </c>
      <c r="BN24">
        <v>24</v>
      </c>
      <c r="BO24" s="108">
        <f t="shared" si="3"/>
        <v>47.1985540924348</v>
      </c>
    </row>
    <row r="25" spans="1:70" ht="13.5" thickBot="1">
      <c r="A25" s="192" t="s">
        <v>229</v>
      </c>
      <c r="B25" s="193">
        <v>52</v>
      </c>
      <c r="C25" s="194" t="s">
        <v>36</v>
      </c>
      <c r="D25" s="195">
        <v>0</v>
      </c>
      <c r="E25" s="195">
        <v>0</v>
      </c>
      <c r="F25" s="195">
        <v>0</v>
      </c>
      <c r="G25" s="195">
        <v>0.015555555555555553</v>
      </c>
      <c r="H25" s="195">
        <v>0.015520833333333333</v>
      </c>
      <c r="I25" s="195">
        <v>0</v>
      </c>
      <c r="J25" s="195">
        <v>0.03320601851851852</v>
      </c>
      <c r="K25" s="195">
        <v>0</v>
      </c>
      <c r="L25" s="195">
        <v>0.024525462962962968</v>
      </c>
      <c r="M25" s="195">
        <v>0.03302083333333333</v>
      </c>
      <c r="N25" s="195">
        <v>0.07552083333333333</v>
      </c>
      <c r="O25" s="195">
        <v>0.12578703703703703</v>
      </c>
      <c r="P25" s="195">
        <v>0</v>
      </c>
      <c r="Q25" s="195">
        <v>0</v>
      </c>
      <c r="R25" s="195">
        <v>0</v>
      </c>
      <c r="S25" s="196">
        <v>0.053425925925925925</v>
      </c>
      <c r="T25" s="196">
        <v>0.015555555555555553</v>
      </c>
      <c r="U25" s="197">
        <v>2</v>
      </c>
      <c r="V25" s="198" t="s">
        <v>259</v>
      </c>
      <c r="W25" s="20"/>
      <c r="BC25" t="str">
        <f t="shared" si="4"/>
        <v>Anita Worthing</v>
      </c>
      <c r="BD25">
        <f t="shared" si="5"/>
        <v>0</v>
      </c>
      <c r="BJ25" t="str">
        <f>IF(BO25&gt;0,"In","")</f>
        <v>In</v>
      </c>
      <c r="BK25" s="41">
        <f t="shared" si="0"/>
        <v>0.03302083333333333</v>
      </c>
      <c r="BL25">
        <f t="shared" si="1"/>
        <v>4</v>
      </c>
      <c r="BM25" t="str">
        <f t="shared" si="2"/>
        <v>In4</v>
      </c>
      <c r="BN25">
        <v>25</v>
      </c>
      <c r="BO25" s="41">
        <f t="shared" si="3"/>
        <v>0.03302083333333333</v>
      </c>
      <c r="BP25">
        <f t="shared" si="6"/>
        <v>75.11477809294756</v>
      </c>
      <c r="BQ25" t="str">
        <f>IF($BJ25="In",A25,"")</f>
        <v>Anita Worthing</v>
      </c>
      <c r="BR25">
        <f>IF($BJ25="In",B25,"")</f>
        <v>52</v>
      </c>
    </row>
    <row r="26" spans="1:67" ht="13.5" thickBot="1">
      <c r="A26" s="58" t="str">
        <f>CONCATENATE(A25,C26)</f>
        <v>Anita WorthingPoints</v>
      </c>
      <c r="B26" s="55"/>
      <c r="C26" s="54" t="s">
        <v>37</v>
      </c>
      <c r="D26" s="56">
        <f>IF(D25&gt;0,VLOOKUP(CONCATENATE($C$2,$B25),'Base Calculation'!$A$5:$O$89,D$5+2,FALSE)/D25*100,"")</f>
      </c>
      <c r="E26" s="56">
        <f>IF(E25&gt;0,VLOOKUP(CONCATENATE($C$2,$B25),'Base Calculation'!$A$5:$O$89,E$5+2,FALSE)/E25*100,"")</f>
      </c>
      <c r="F26" s="56">
        <f>IF(F25&gt;0,VLOOKUP(CONCATENATE($C$2,$B25),'Base Calculation'!$A$5:$O$89,F$5+2,FALSE)/F25*100,"")</f>
      </c>
      <c r="G26" s="56">
        <f>IF(G25&gt;0,VLOOKUP(CONCATENATE($C$2,$B25),'Base Calculation'!$A$5:$O$89,G$5+2,FALSE)/G25*100,"")</f>
        <v>77.28325796907275</v>
      </c>
      <c r="H26" s="56">
        <f>IF(H25&gt;0,VLOOKUP(CONCATENATE($C$2,$B25),'Base Calculation'!$A$5:$O$89,H$5+2,FALSE)/H25*100,"")</f>
        <v>77.45615116363442</v>
      </c>
      <c r="I26" s="56">
        <f>IF(I25&gt;0,VLOOKUP(CONCATENATE($C$2,$B25),'Base Calculation'!$A$5:$O$89,I$5+2,FALSE)/I25*100,"")</f>
      </c>
      <c r="J26" s="56">
        <f>IF(J25&gt;0,VLOOKUP(CONCATENATE($C$2,$B25),'Base Calculation'!$A$5:$O$89,J$5+2,FALSE)/J25*100,"")</f>
        <v>74.69587378849054</v>
      </c>
      <c r="K26" s="56">
        <f>IF(K25&gt;0,VLOOKUP(CONCATENATE($C$2,$B25),'Base Calculation'!$A$5:$O$89,K$5+2,FALSE)/K25*100,"")</f>
      </c>
      <c r="L26" s="56">
        <f>IF(L25&gt;0,VLOOKUP(CONCATENATE($C$2,$B25),'Base Calculation'!$A$5:$O$89,L$5+2,FALSE)/L25*100,"")</f>
        <v>81.16151140770131</v>
      </c>
      <c r="M26" s="56">
        <f>IF(M25&gt;0,VLOOKUP(CONCATENATE($C$2,$B25),'Base Calculation'!$A$5:$O$89,M$5+2,FALSE)/M25*100,"")</f>
        <v>75.11477809294756</v>
      </c>
      <c r="N26" s="56">
        <f>IF(N25&gt;0,VLOOKUP(CONCATENATE($C$2,$B25),'Base Calculation'!$A$5:$O$89,N$5+2,FALSE)/N25*100,"")</f>
        <v>71.99292108537368</v>
      </c>
      <c r="O26" s="56">
        <f>IF(O25&gt;0,VLOOKUP(CONCATENATE($C$2,$B25),'Base Calculation'!$A$5:$O$89,O$5+2,FALSE)/O25*100,"")</f>
        <v>66.71762404335874</v>
      </c>
      <c r="P26" s="56">
        <f>IF(P25&gt;0,VLOOKUP(CONCATENATE($C$2,$B25),'Base Calculation'!$A$5:$O$89,P$5+2,FALSE)/P25*100,"")</f>
      </c>
      <c r="Q26" s="56">
        <f>IF(Q25&gt;0,VLOOKUP(CONCATENATE($C$2,$B25),'Base Calculation'!$A$5:$O$89,Q$5+2,FALSE)/Q25*100,"")</f>
      </c>
      <c r="R26" s="56">
        <f>IF(R25&gt;0,VLOOKUP(CONCATENATE($C$2,$B25),'Base Calculation'!$A$5:$O$89,R$5+2,FALSE)/R25*100,"")</f>
      </c>
      <c r="S26" s="56">
        <f>IF(S25&gt;0,VLOOKUP(CONCATENATE($C$2,$B25),'Base Calculation'!$A$5:$O$89,S$5+2,FALSE)/S25*100,"")</f>
        <v>79.51851046667791</v>
      </c>
      <c r="T26" s="82">
        <f>IF(T25&gt;0,VLOOKUP(CONCATENATE($C$2,$B25),'Base Calculation'!$A$5:$O$89,U25+2,FALSE)/T25*100,"")</f>
        <v>77.28325796907275</v>
      </c>
      <c r="U26" s="86" t="str">
        <f>IF(U25&gt;0,VLOOKUP(U25,BF$2:BG$14,2,FALSE),"")</f>
        <v>5k</v>
      </c>
      <c r="V26" s="87" t="str">
        <f>V25</f>
        <v>Rhayader Race 3</v>
      </c>
      <c r="W26" s="20"/>
      <c r="AP26">
        <f>17-COUNTIF(D26:T26,"")</f>
        <v>9</v>
      </c>
      <c r="AQ26" t="str">
        <f>CONCATENATE($C$2,BB26)</f>
        <v>Female1</v>
      </c>
      <c r="AS26" s="25">
        <f>SUM(D26:H26)</f>
        <v>154.73940913270718</v>
      </c>
      <c r="AT26" s="25">
        <f>SUM(I26:M26)</f>
        <v>230.97216328913942</v>
      </c>
      <c r="AU26" s="25">
        <f>SUM(N26:S26)</f>
        <v>218.22905559541033</v>
      </c>
      <c r="AV26" s="25">
        <f>IF($AS26&gt;0,LARGE(D26:H26,1),0)</f>
        <v>77.45615116363442</v>
      </c>
      <c r="AW26" s="25">
        <f>IF($AT26&gt;0,LARGE(I26:M26,1),0)</f>
        <v>81.16151140770131</v>
      </c>
      <c r="AX26" s="25">
        <f>IF($AU26&gt;0,LARGE(N26:S26,1),0)</f>
        <v>79.51851046667791</v>
      </c>
      <c r="AY26" s="25">
        <f>IF('League Summary'!$X$2=1,T26,"")</f>
        <v>77.28325796907275</v>
      </c>
      <c r="AZ26" s="25">
        <f>SUM(AV26:AY26)</f>
        <v>315.41943100708636</v>
      </c>
      <c r="BA26" t="str">
        <f>IF(AND(AV26&gt;0,AW26&gt;0,AX26&gt;0,(AP26&gt;=4)),"Q","NQ")</f>
        <v>Q</v>
      </c>
      <c r="BB26">
        <f>IF(AZ26&gt;0,RANK(AZ26,AZ$8:AZ$86,0),"")</f>
        <v>1</v>
      </c>
      <c r="BC26" t="str">
        <f>A25</f>
        <v>Anita Worthing</v>
      </c>
      <c r="BD26">
        <f t="shared" si="5"/>
        <v>52</v>
      </c>
      <c r="BK26" s="41">
        <f t="shared" si="0"/>
      </c>
      <c r="BL26">
        <f t="shared" si="1"/>
      </c>
      <c r="BM26">
        <f t="shared" si="2"/>
      </c>
      <c r="BN26">
        <v>26</v>
      </c>
      <c r="BO26" s="108">
        <f t="shared" si="3"/>
        <v>75.11477809294756</v>
      </c>
    </row>
    <row r="27" spans="1:70" ht="13.5" thickBot="1">
      <c r="A27" s="192" t="s">
        <v>230</v>
      </c>
      <c r="B27" s="193">
        <v>42</v>
      </c>
      <c r="C27" s="194" t="s">
        <v>36</v>
      </c>
      <c r="D27" s="195">
        <v>0</v>
      </c>
      <c r="E27" s="195">
        <v>0</v>
      </c>
      <c r="F27" s="195">
        <v>0.01638888888888889</v>
      </c>
      <c r="G27" s="195">
        <v>0</v>
      </c>
      <c r="H27" s="195">
        <v>0.01619212962962963</v>
      </c>
      <c r="I27" s="195">
        <v>0</v>
      </c>
      <c r="J27" s="195">
        <v>0.034479166666666665</v>
      </c>
      <c r="K27" s="195">
        <v>0</v>
      </c>
      <c r="L27" s="195">
        <v>0</v>
      </c>
      <c r="M27" s="195">
        <v>0.03460648148148148</v>
      </c>
      <c r="N27" s="195">
        <v>0</v>
      </c>
      <c r="O27" s="195">
        <v>0</v>
      </c>
      <c r="P27" s="195">
        <v>0</v>
      </c>
      <c r="Q27" s="195">
        <v>0</v>
      </c>
      <c r="R27" s="195">
        <v>0</v>
      </c>
      <c r="S27" s="196">
        <v>0.0566550925925926</v>
      </c>
      <c r="T27" s="196">
        <v>0.01638888888888889</v>
      </c>
      <c r="U27" s="197">
        <v>2</v>
      </c>
      <c r="V27" s="198" t="s">
        <v>261</v>
      </c>
      <c r="W27" s="20"/>
      <c r="BC27" t="str">
        <f t="shared" si="4"/>
        <v>Anwen James</v>
      </c>
      <c r="BD27">
        <f t="shared" si="5"/>
        <v>0</v>
      </c>
      <c r="BJ27" t="str">
        <f>IF(BO27&gt;0,"In","")</f>
        <v>In</v>
      </c>
      <c r="BK27" s="41">
        <f t="shared" si="0"/>
        <v>0.03460648148148148</v>
      </c>
      <c r="BL27">
        <f t="shared" si="1"/>
        <v>10</v>
      </c>
      <c r="BM27" t="str">
        <f t="shared" si="2"/>
        <v>In10</v>
      </c>
      <c r="BN27">
        <v>27</v>
      </c>
      <c r="BO27" s="41">
        <f t="shared" si="3"/>
        <v>0.03460648148148148</v>
      </c>
      <c r="BP27">
        <f t="shared" si="6"/>
        <v>66.1585583224969</v>
      </c>
      <c r="BQ27" t="str">
        <f>IF($BJ27="In",A27,"")</f>
        <v>Anwen James</v>
      </c>
      <c r="BR27">
        <f>IF($BJ27="In",B27,"")</f>
        <v>42</v>
      </c>
    </row>
    <row r="28" spans="1:67" ht="13.5" thickBot="1">
      <c r="A28" s="58" t="str">
        <f>CONCATENATE(A27,C28)</f>
        <v>Anwen JamesPoints</v>
      </c>
      <c r="B28" s="55"/>
      <c r="C28" s="54" t="s">
        <v>37</v>
      </c>
      <c r="D28" s="56">
        <f>IF(D27&gt;0,VLOOKUP(CONCATENATE($C$2,$B27),'Base Calculation'!$A$5:$O$89,D$5+2,FALSE)/D27*100,"")</f>
      </c>
      <c r="E28" s="56">
        <f>IF(E27&gt;0,VLOOKUP(CONCATENATE($C$2,$B27),'Base Calculation'!$A$5:$O$89,E$5+2,FALSE)/E27*100,"")</f>
      </c>
      <c r="F28" s="56">
        <f>IF(F27&gt;0,VLOOKUP(CONCATENATE($C$2,$B27),'Base Calculation'!$A$5:$O$89,F$5+2,FALSE)/F27*100,"")</f>
        <v>67.70979490198738</v>
      </c>
      <c r="G28" s="56">
        <f>IF(G27&gt;0,VLOOKUP(CONCATENATE($C$2,$B27),'Base Calculation'!$A$5:$O$89,G$5+2,FALSE)/G27*100,"")</f>
      </c>
      <c r="H28" s="56">
        <f>IF(H27&gt;0,VLOOKUP(CONCATENATE($C$2,$B27),'Base Calculation'!$A$5:$O$89,H$5+2,FALSE)/H27*100,"")</f>
        <v>68.53257296727244</v>
      </c>
      <c r="I28" s="56">
        <f>IF(I27&gt;0,VLOOKUP(CONCATENATE($C$2,$B27),'Base Calculation'!$A$5:$O$89,I$5+2,FALSE)/I27*100,"")</f>
      </c>
      <c r="J28" s="56">
        <f>IF(J27&gt;0,VLOOKUP(CONCATENATE($C$2,$B27),'Base Calculation'!$A$5:$O$89,J$5+2,FALSE)/J27*100,"")</f>
        <v>66.40284974295595</v>
      </c>
      <c r="K28" s="56">
        <f>IF(K27&gt;0,VLOOKUP(CONCATENATE($C$2,$B27),'Base Calculation'!$A$5:$O$89,K$5+2,FALSE)/K27*100,"")</f>
      </c>
      <c r="L28" s="56">
        <f>IF(L27&gt;0,VLOOKUP(CONCATENATE($C$2,$B27),'Base Calculation'!$A$5:$O$89,L$5+2,FALSE)/L27*100,"")</f>
      </c>
      <c r="M28" s="56">
        <f>IF(M27&gt;0,VLOOKUP(CONCATENATE($C$2,$B27),'Base Calculation'!$A$5:$O$89,M$5+2,FALSE)/M27*100,"")</f>
        <v>66.1585583224969</v>
      </c>
      <c r="N28" s="56">
        <f>IF(N27&gt;0,VLOOKUP(CONCATENATE($C$2,$B27),'Base Calculation'!$A$5:$O$89,N$5+2,FALSE)/N27*100,"")</f>
      </c>
      <c r="O28" s="56">
        <f>IF(O27&gt;0,VLOOKUP(CONCATENATE($C$2,$B27),'Base Calculation'!$A$5:$O$89,O$5+2,FALSE)/O27*100,"")</f>
      </c>
      <c r="P28" s="56">
        <f>IF(P27&gt;0,VLOOKUP(CONCATENATE($C$2,$B27),'Base Calculation'!$A$5:$O$89,P$5+2,FALSE)/P27*100,"")</f>
      </c>
      <c r="Q28" s="56">
        <f>IF(Q27&gt;0,VLOOKUP(CONCATENATE($C$2,$B27),'Base Calculation'!$A$5:$O$89,Q$5+2,FALSE)/Q27*100,"")</f>
      </c>
      <c r="R28" s="56">
        <f>IF(R27&gt;0,VLOOKUP(CONCATENATE($C$2,$B27),'Base Calculation'!$A$5:$O$89,R$5+2,FALSE)/R27*100,"")</f>
      </c>
      <c r="S28" s="56">
        <f>IF(S27&gt;0,VLOOKUP(CONCATENATE($C$2,$B27),'Base Calculation'!$A$5:$O$89,S$5+2,FALSE)/S27*100,"")</f>
        <v>69.2167814992452</v>
      </c>
      <c r="T28" s="82">
        <f>IF(T27&gt;0,VLOOKUP(CONCATENATE($C$2,$B27),'Base Calculation'!$A$5:$O$89,U27+2,FALSE)/T27*100,"")</f>
        <v>67.70979490198738</v>
      </c>
      <c r="U28" s="86" t="str">
        <f>IF(U27&gt;0,VLOOKUP(U27,BF$2:BG$14,2,FALSE),"")</f>
        <v>5k</v>
      </c>
      <c r="V28" s="87" t="str">
        <f>V27</f>
        <v>Rhayader Race 2</v>
      </c>
      <c r="W28" s="20"/>
      <c r="AP28">
        <f>17-COUNTIF(D28:T28,"")</f>
        <v>6</v>
      </c>
      <c r="AQ28" t="str">
        <f>CONCATENATE($C$2,BB28)</f>
        <v>Female6</v>
      </c>
      <c r="AS28" s="25">
        <f>SUM(D28:H28)</f>
        <v>136.24236786925982</v>
      </c>
      <c r="AT28" s="25">
        <f>SUM(I28:M28)</f>
        <v>132.56140806545284</v>
      </c>
      <c r="AU28" s="25">
        <f>SUM(N28:S28)</f>
        <v>69.2167814992452</v>
      </c>
      <c r="AV28" s="25">
        <f>IF($AS28&gt;0,LARGE(D28:H28,1),0)</f>
        <v>68.53257296727244</v>
      </c>
      <c r="AW28" s="25">
        <f>IF($AT28&gt;0,LARGE(I28:M28,1),0)</f>
        <v>66.40284974295595</v>
      </c>
      <c r="AX28" s="25">
        <f>IF($AU28&gt;0,LARGE(N28:S28,1),0)</f>
        <v>69.2167814992452</v>
      </c>
      <c r="AY28" s="25">
        <f>IF('League Summary'!$X$2=1,T28,"")</f>
        <v>67.70979490198738</v>
      </c>
      <c r="AZ28" s="25">
        <f>SUM(AV28:AY28)</f>
        <v>271.861999111461</v>
      </c>
      <c r="BA28" t="str">
        <f>IF(AND(AV28&gt;0,AW28&gt;0,AX28&gt;0,(AP28&gt;=4)),"Q","NQ")</f>
        <v>Q</v>
      </c>
      <c r="BB28">
        <f>IF(AZ28&gt;0,RANK(AZ28,AZ$8:AZ$86,0),"")</f>
        <v>6</v>
      </c>
      <c r="BC28" t="str">
        <f>A27</f>
        <v>Anwen James</v>
      </c>
      <c r="BD28">
        <f t="shared" si="5"/>
        <v>42</v>
      </c>
      <c r="BK28" s="41">
        <f t="shared" si="0"/>
      </c>
      <c r="BL28">
        <f t="shared" si="1"/>
      </c>
      <c r="BM28">
        <f t="shared" si="2"/>
      </c>
      <c r="BN28">
        <v>28</v>
      </c>
      <c r="BO28" s="108">
        <f t="shared" si="3"/>
        <v>66.1585583224969</v>
      </c>
    </row>
    <row r="29" spans="1:70" ht="13.5" thickBot="1">
      <c r="A29" s="192" t="s">
        <v>231</v>
      </c>
      <c r="B29" s="193">
        <v>39</v>
      </c>
      <c r="C29" s="194" t="s">
        <v>36</v>
      </c>
      <c r="D29" s="195">
        <v>0</v>
      </c>
      <c r="E29" s="195">
        <v>0</v>
      </c>
      <c r="F29" s="195">
        <v>0.0175</v>
      </c>
      <c r="G29" s="195">
        <v>0</v>
      </c>
      <c r="H29" s="195">
        <v>0</v>
      </c>
      <c r="I29" s="195">
        <v>0</v>
      </c>
      <c r="J29" s="195">
        <v>0.03688657407407408</v>
      </c>
      <c r="K29" s="195">
        <v>0</v>
      </c>
      <c r="L29" s="195">
        <v>0</v>
      </c>
      <c r="M29" s="195">
        <v>0.03622685185185185</v>
      </c>
      <c r="N29" s="195">
        <v>0</v>
      </c>
      <c r="O29" s="195">
        <v>0</v>
      </c>
      <c r="P29" s="195">
        <v>0</v>
      </c>
      <c r="Q29" s="195">
        <v>0</v>
      </c>
      <c r="R29" s="195">
        <v>0.081875</v>
      </c>
      <c r="S29" s="196">
        <v>0.06116898148148148</v>
      </c>
      <c r="T29" s="196">
        <v>0.03688657407407408</v>
      </c>
      <c r="U29" s="197">
        <v>5</v>
      </c>
      <c r="V29" s="198" t="s">
        <v>271</v>
      </c>
      <c r="W29" s="20"/>
      <c r="BC29" t="str">
        <f t="shared" si="4"/>
        <v>Carys Prytherch</v>
      </c>
      <c r="BD29">
        <f t="shared" si="5"/>
        <v>0</v>
      </c>
      <c r="BJ29" t="str">
        <f>IF(BO29&gt;0,"In","")</f>
        <v>In</v>
      </c>
      <c r="BK29" s="41">
        <f t="shared" si="0"/>
        <v>0.03622685185185185</v>
      </c>
      <c r="BL29">
        <f t="shared" si="1"/>
        <v>13</v>
      </c>
      <c r="BM29" t="str">
        <f t="shared" si="2"/>
        <v>In13</v>
      </c>
      <c r="BN29">
        <v>29</v>
      </c>
      <c r="BO29" s="41">
        <f t="shared" si="3"/>
        <v>0.03622685185185185</v>
      </c>
      <c r="BP29">
        <f t="shared" si="6"/>
        <v>61.87366872607599</v>
      </c>
      <c r="BQ29" t="str">
        <f>IF($BJ29="In",A29,"")</f>
        <v>Carys Prytherch</v>
      </c>
      <c r="BR29">
        <f>IF($BJ29="In",B29,"")</f>
        <v>39</v>
      </c>
    </row>
    <row r="30" spans="1:67" ht="13.5" thickBot="1">
      <c r="A30" s="58" t="str">
        <f>CONCATENATE(A29,C30)</f>
        <v>Carys PrytherchPoints</v>
      </c>
      <c r="B30" s="55"/>
      <c r="C30" s="54" t="s">
        <v>37</v>
      </c>
      <c r="D30" s="56">
        <f>IF(D29&gt;0,VLOOKUP(CONCATENATE($C$2,$B29),'Base Calculation'!$A$5:$O$89,D$5+2,FALSE)/D29*100,"")</f>
      </c>
      <c r="E30" s="56">
        <f>IF(E29&gt;0,VLOOKUP(CONCATENATE($C$2,$B29),'Base Calculation'!$A$5:$O$89,E$5+2,FALSE)/E29*100,"")</f>
      </c>
      <c r="F30" s="56">
        <f>IF(F29&gt;0,VLOOKUP(CONCATENATE($C$2,$B29),'Base Calculation'!$A$5:$O$89,F$5+2,FALSE)/F29*100,"")</f>
        <v>62.08060557038202</v>
      </c>
      <c r="G30" s="56">
        <f>IF(G29&gt;0,VLOOKUP(CONCATENATE($C$2,$B29),'Base Calculation'!$A$5:$O$89,G$5+2,FALSE)/G29*100,"")</f>
      </c>
      <c r="H30" s="56">
        <f>IF(H29&gt;0,VLOOKUP(CONCATENATE($C$2,$B29),'Base Calculation'!$A$5:$O$89,H$5+2,FALSE)/H29*100,"")</f>
      </c>
      <c r="I30" s="56">
        <f>IF(I29&gt;0,VLOOKUP(CONCATENATE($C$2,$B29),'Base Calculation'!$A$5:$O$89,I$5+2,FALSE)/I29*100,"")</f>
      </c>
      <c r="J30" s="56">
        <f>IF(J29&gt;0,VLOOKUP(CONCATENATE($C$2,$B29),'Base Calculation'!$A$5:$O$89,J$5+2,FALSE)/J29*100,"")</f>
        <v>60.76704835664193</v>
      </c>
      <c r="K30" s="56">
        <f>IF(K29&gt;0,VLOOKUP(CONCATENATE($C$2,$B29),'Base Calculation'!$A$5:$O$89,K$5+2,FALSE)/K29*100,"")</f>
      </c>
      <c r="L30" s="56">
        <f>IF(L29&gt;0,VLOOKUP(CONCATENATE($C$2,$B29),'Base Calculation'!$A$5:$O$89,L$5+2,FALSE)/L29*100,"")</f>
      </c>
      <c r="M30" s="56">
        <f>IF(M29&gt;0,VLOOKUP(CONCATENATE($C$2,$B29),'Base Calculation'!$A$5:$O$89,M$5+2,FALSE)/M29*100,"")</f>
        <v>61.87366872607599</v>
      </c>
      <c r="N30" s="56">
        <f>IF(N29&gt;0,VLOOKUP(CONCATENATE($C$2,$B29),'Base Calculation'!$A$5:$O$89,N$5+2,FALSE)/N29*100,"")</f>
      </c>
      <c r="O30" s="56">
        <f>IF(O29&gt;0,VLOOKUP(CONCATENATE($C$2,$B29),'Base Calculation'!$A$5:$O$89,O$5+2,FALSE)/O29*100,"")</f>
      </c>
      <c r="P30" s="56">
        <f>IF(P29&gt;0,VLOOKUP(CONCATENATE($C$2,$B29),'Base Calculation'!$A$5:$O$89,P$5+2,FALSE)/P29*100,"")</f>
      </c>
      <c r="Q30" s="56">
        <f>IF(Q29&gt;0,VLOOKUP(CONCATENATE($C$2,$B29),'Base Calculation'!$A$5:$O$89,Q$5+2,FALSE)/Q29*100,"")</f>
      </c>
      <c r="R30" s="56">
        <f>IF(R29&gt;0,VLOOKUP(CONCATENATE($C$2,$B29),'Base Calculation'!$A$5:$O$89,R$5+2,FALSE)/R29*100,"")</f>
        <v>60.01064586161823</v>
      </c>
      <c r="S30" s="56">
        <f>IF(S29&gt;0,VLOOKUP(CONCATENATE($C$2,$B29),'Base Calculation'!$A$5:$O$89,S$5+2,FALSE)/S29*100,"")</f>
        <v>62.76421333297518</v>
      </c>
      <c r="T30" s="82">
        <f>IF(T29&gt;0,VLOOKUP(CONCATENATE($C$2,$B29),'Base Calculation'!$A$5:$O$89,U29+2,FALSE)/T29*100,"")</f>
        <v>60.76704835664193</v>
      </c>
      <c r="U30" s="86" t="str">
        <f>IF(U29&gt;0,VLOOKUP(U29,BF$2:BG$14,2,FALSE),"")</f>
        <v>10k</v>
      </c>
      <c r="V30" s="87" t="str">
        <f>V29</f>
        <v>Ras y Ddua Sant</v>
      </c>
      <c r="W30" s="20"/>
      <c r="AP30">
        <f>17-COUNTIF(D30:T30,"")</f>
        <v>6</v>
      </c>
      <c r="AQ30" t="str">
        <f>CONCATENATE($C$2,BB30)</f>
        <v>Female8</v>
      </c>
      <c r="AS30" s="25">
        <f>SUM(D30:H30)</f>
        <v>62.08060557038202</v>
      </c>
      <c r="AT30" s="25">
        <f>SUM(I30:M30)</f>
        <v>122.64071708271791</v>
      </c>
      <c r="AU30" s="25">
        <f>SUM(N30:S30)</f>
        <v>122.7748591945934</v>
      </c>
      <c r="AV30" s="25">
        <f>IF($AS30&gt;0,LARGE(D30:H30,1),0)</f>
        <v>62.08060557038202</v>
      </c>
      <c r="AW30" s="25">
        <f>IF($AT30&gt;0,LARGE(I30:M30,1),0)</f>
        <v>61.87366872607599</v>
      </c>
      <c r="AX30" s="25">
        <f>IF($AU30&gt;0,LARGE(N30:S30,1),0)</f>
        <v>62.76421333297518</v>
      </c>
      <c r="AY30" s="25">
        <f>IF('League Summary'!$X$2=1,T30,"")</f>
        <v>60.76704835664193</v>
      </c>
      <c r="AZ30" s="25">
        <f>SUM(AV30:AY30)</f>
        <v>247.48553598607512</v>
      </c>
      <c r="BA30" t="str">
        <f>IF(AND(AV30&gt;0,AW30&gt;0,AX30&gt;0,(AP30&gt;=4)),"Q","NQ")</f>
        <v>Q</v>
      </c>
      <c r="BB30">
        <f>IF(AZ30&gt;0,RANK(AZ30,AZ$8:AZ$86,0),"")</f>
        <v>8</v>
      </c>
      <c r="BC30" t="str">
        <f>A29</f>
        <v>Carys Prytherch</v>
      </c>
      <c r="BD30">
        <f t="shared" si="5"/>
        <v>39</v>
      </c>
      <c r="BK30" s="41">
        <f t="shared" si="0"/>
      </c>
      <c r="BL30">
        <f t="shared" si="1"/>
      </c>
      <c r="BM30">
        <f t="shared" si="2"/>
      </c>
      <c r="BN30">
        <v>30</v>
      </c>
      <c r="BO30" s="108">
        <f t="shared" si="3"/>
        <v>61.87366872607599</v>
      </c>
    </row>
    <row r="31" spans="1:70" ht="13.5" thickBot="1">
      <c r="A31" s="192" t="s">
        <v>233</v>
      </c>
      <c r="B31" s="193">
        <v>35</v>
      </c>
      <c r="C31" s="194" t="s">
        <v>36</v>
      </c>
      <c r="D31" s="195">
        <v>0</v>
      </c>
      <c r="E31" s="195">
        <v>0</v>
      </c>
      <c r="F31" s="195">
        <v>0.01709490740740741</v>
      </c>
      <c r="G31" s="195">
        <v>0.01733796296296296</v>
      </c>
      <c r="H31" s="195">
        <v>0.017511574074074072</v>
      </c>
      <c r="I31" s="195">
        <v>0</v>
      </c>
      <c r="J31" s="195">
        <v>0</v>
      </c>
      <c r="K31" s="195">
        <v>0</v>
      </c>
      <c r="L31" s="195">
        <v>0</v>
      </c>
      <c r="M31" s="195">
        <v>0.03612268518518518</v>
      </c>
      <c r="N31" s="195">
        <v>0</v>
      </c>
      <c r="O31" s="195">
        <v>0</v>
      </c>
      <c r="P31" s="195">
        <v>0</v>
      </c>
      <c r="Q31" s="195">
        <v>0</v>
      </c>
      <c r="R31" s="195">
        <v>0.08175925925925925</v>
      </c>
      <c r="S31" s="196">
        <v>0</v>
      </c>
      <c r="T31" s="196">
        <v>0.01733796296296296</v>
      </c>
      <c r="U31" s="197">
        <v>2</v>
      </c>
      <c r="V31" s="198" t="s">
        <v>259</v>
      </c>
      <c r="W31" s="20"/>
      <c r="BC31" t="str">
        <f t="shared" si="4"/>
        <v>Karen Williams</v>
      </c>
      <c r="BD31">
        <f t="shared" si="5"/>
        <v>0</v>
      </c>
      <c r="BJ31" t="str">
        <f>IF(BO31&gt;0,"In","")</f>
        <v>In</v>
      </c>
      <c r="BK31" s="41">
        <f t="shared" si="0"/>
        <v>0.03612268518518518</v>
      </c>
      <c r="BL31">
        <f t="shared" si="1"/>
        <v>12</v>
      </c>
      <c r="BM31" t="str">
        <f t="shared" si="2"/>
        <v>In12</v>
      </c>
      <c r="BN31">
        <v>31</v>
      </c>
      <c r="BO31" s="41">
        <f t="shared" si="3"/>
        <v>0.03612268518518518</v>
      </c>
      <c r="BP31">
        <f t="shared" si="6"/>
        <v>60.40735441695403</v>
      </c>
      <c r="BQ31" t="str">
        <f>IF($BJ31="In",A31,"")</f>
        <v>Karen Williams</v>
      </c>
      <c r="BR31">
        <f>IF($BJ31="In",B31,"")</f>
        <v>35</v>
      </c>
    </row>
    <row r="32" spans="1:67" ht="13.5" thickBot="1">
      <c r="A32" s="58" t="str">
        <f>CONCATENATE(A31,C32)</f>
        <v>Karen WilliamsPoints</v>
      </c>
      <c r="B32" s="55"/>
      <c r="C32" s="54" t="s">
        <v>37</v>
      </c>
      <c r="D32" s="56">
        <f>IF(D31&gt;0,VLOOKUP(CONCATENATE($C$2,$B31),'Base Calculation'!$A$5:$O$89,D$5+2,FALSE)/D31*100,"")</f>
      </c>
      <c r="E32" s="56">
        <f>IF(E31&gt;0,VLOOKUP(CONCATENATE($C$2,$B31),'Base Calculation'!$A$5:$O$89,E$5+2,FALSE)/E31*100,"")</f>
      </c>
      <c r="F32" s="56">
        <f>IF(F31&gt;0,VLOOKUP(CONCATENATE($C$2,$B31),'Base Calculation'!$A$5:$O$89,F$5+2,FALSE)/F31*100,"")</f>
        <v>61.8672226058083</v>
      </c>
      <c r="G32" s="56">
        <f>IF(G31&gt;0,VLOOKUP(CONCATENATE($C$2,$B31),'Base Calculation'!$A$5:$O$89,G$5+2,FALSE)/G31*100,"")</f>
        <v>60.99992509264278</v>
      </c>
      <c r="H32" s="56">
        <f>IF(H31&gt;0,VLOOKUP(CONCATENATE($C$2,$B31),'Base Calculation'!$A$5:$O$89,H$5+2,FALSE)/H31*100,"")</f>
        <v>60.395167077844604</v>
      </c>
      <c r="I32" s="56">
        <f>IF(I31&gt;0,VLOOKUP(CONCATENATE($C$2,$B31),'Base Calculation'!$A$5:$O$89,I$5+2,FALSE)/I31*100,"")</f>
      </c>
      <c r="J32" s="56">
        <f>IF(J31&gt;0,VLOOKUP(CONCATENATE($C$2,$B31),'Base Calculation'!$A$5:$O$89,J$5+2,FALSE)/J31*100,"")</f>
      </c>
      <c r="K32" s="56">
        <f>IF(K31&gt;0,VLOOKUP(CONCATENATE($C$2,$B31),'Base Calculation'!$A$5:$O$89,K$5+2,FALSE)/K31*100,"")</f>
      </c>
      <c r="L32" s="56">
        <f>IF(L31&gt;0,VLOOKUP(CONCATENATE($C$2,$B31),'Base Calculation'!$A$5:$O$89,L$5+2,FALSE)/L31*100,"")</f>
      </c>
      <c r="M32" s="56">
        <f>IF(M31&gt;0,VLOOKUP(CONCATENATE($C$2,$B31),'Base Calculation'!$A$5:$O$89,M$5+2,FALSE)/M31*100,"")</f>
        <v>60.40735441695403</v>
      </c>
      <c r="N32" s="56">
        <f>IF(N31&gt;0,VLOOKUP(CONCATENATE($C$2,$B31),'Base Calculation'!$A$5:$O$89,N$5+2,FALSE)/N31*100,"")</f>
      </c>
      <c r="O32" s="56">
        <f>IF(O31&gt;0,VLOOKUP(CONCATENATE($C$2,$B31),'Base Calculation'!$A$5:$O$89,O$5+2,FALSE)/O31*100,"")</f>
      </c>
      <c r="P32" s="56">
        <f>IF(P31&gt;0,VLOOKUP(CONCATENATE($C$2,$B31),'Base Calculation'!$A$5:$O$89,P$5+2,FALSE)/P31*100,"")</f>
      </c>
      <c r="Q32" s="56">
        <f>IF(Q31&gt;0,VLOOKUP(CONCATENATE($C$2,$B31),'Base Calculation'!$A$5:$O$89,Q$5+2,FALSE)/Q31*100,"")</f>
      </c>
      <c r="R32" s="56">
        <f>IF(R31&gt;0,VLOOKUP(CONCATENATE($C$2,$B31),'Base Calculation'!$A$5:$O$89,R$5+2,FALSE)/R31*100,"")</f>
        <v>58.502718193676664</v>
      </c>
      <c r="S32" s="56">
        <f>IF(S31&gt;0,VLOOKUP(CONCATENATE($C$2,$B31),'Base Calculation'!$A$5:$O$89,S$5+2,FALSE)/S31*100,"")</f>
      </c>
      <c r="T32" s="82">
        <f>IF(T31&gt;0,VLOOKUP(CONCATENATE($C$2,$B31),'Base Calculation'!$A$5:$O$89,U31+2,FALSE)/T31*100,"")</f>
        <v>60.99992509264278</v>
      </c>
      <c r="U32" s="86" t="str">
        <f>IF(U31&gt;0,VLOOKUP(U31,BF$2:BG$14,2,FALSE),"")</f>
        <v>5k</v>
      </c>
      <c r="V32" s="87" t="str">
        <f>V31</f>
        <v>Rhayader Race 3</v>
      </c>
      <c r="W32" s="20"/>
      <c r="AP32">
        <f>17-COUNTIF(D32:T32,"")</f>
        <v>6</v>
      </c>
      <c r="AQ32" t="str">
        <f>CONCATENATE($C$2,BB32)</f>
        <v>Female9</v>
      </c>
      <c r="AS32" s="25">
        <f>SUM(D32:H32)</f>
        <v>183.26231477629568</v>
      </c>
      <c r="AT32" s="25">
        <f>SUM(I32:M32)</f>
        <v>60.40735441695403</v>
      </c>
      <c r="AU32" s="25">
        <f>SUM(N32:S32)</f>
        <v>58.502718193676664</v>
      </c>
      <c r="AV32" s="25">
        <f>IF($AS32&gt;0,LARGE(D32:H32,1),0)</f>
        <v>61.8672226058083</v>
      </c>
      <c r="AW32" s="25">
        <f>IF($AT32&gt;0,LARGE(I32:M32,1),0)</f>
        <v>60.40735441695403</v>
      </c>
      <c r="AX32" s="25">
        <f>IF($AU32&gt;0,LARGE(N32:S32,1),0)</f>
        <v>58.502718193676664</v>
      </c>
      <c r="AY32" s="25">
        <f>IF('League Summary'!$X$2=1,T32,"")</f>
        <v>60.99992509264278</v>
      </c>
      <c r="AZ32" s="25">
        <f>SUM(AV32:AY32)</f>
        <v>241.77722030908177</v>
      </c>
      <c r="BA32" t="str">
        <f>IF(AND(AV32&gt;0,AW32&gt;0,AX32&gt;0,(AP32&gt;=4)),"Q","NQ")</f>
        <v>Q</v>
      </c>
      <c r="BB32">
        <f>IF(AZ32&gt;0,RANK(AZ32,AZ$8:AZ$86,0),"")</f>
        <v>9</v>
      </c>
      <c r="BC32" t="str">
        <f>A31</f>
        <v>Karen Williams</v>
      </c>
      <c r="BD32">
        <f t="shared" si="5"/>
        <v>35</v>
      </c>
      <c r="BK32" s="41">
        <f t="shared" si="0"/>
      </c>
      <c r="BL32">
        <f t="shared" si="1"/>
      </c>
      <c r="BM32">
        <f t="shared" si="2"/>
      </c>
      <c r="BN32">
        <v>32</v>
      </c>
      <c r="BO32" s="108">
        <f t="shared" si="3"/>
        <v>60.40735441695403</v>
      </c>
    </row>
    <row r="33" spans="1:70" ht="13.5" thickBot="1">
      <c r="A33" s="192" t="s">
        <v>234</v>
      </c>
      <c r="B33" s="193">
        <v>30</v>
      </c>
      <c r="C33" s="194" t="s">
        <v>36</v>
      </c>
      <c r="D33" s="195">
        <v>0</v>
      </c>
      <c r="E33" s="195">
        <v>0</v>
      </c>
      <c r="F33" s="195">
        <v>0.014548611111111111</v>
      </c>
      <c r="G33" s="195">
        <v>0</v>
      </c>
      <c r="H33" s="195">
        <v>0</v>
      </c>
      <c r="I33" s="195">
        <v>0</v>
      </c>
      <c r="J33" s="195">
        <v>0</v>
      </c>
      <c r="K33" s="195">
        <v>0</v>
      </c>
      <c r="L33" s="195">
        <v>0</v>
      </c>
      <c r="M33" s="195">
        <v>0</v>
      </c>
      <c r="N33" s="195">
        <v>0</v>
      </c>
      <c r="O33" s="195">
        <v>0</v>
      </c>
      <c r="P33" s="195">
        <v>0</v>
      </c>
      <c r="Q33" s="195">
        <v>0</v>
      </c>
      <c r="R33" s="195">
        <v>0</v>
      </c>
      <c r="S33" s="196">
        <v>0</v>
      </c>
      <c r="T33" s="196">
        <v>0</v>
      </c>
      <c r="U33" s="197"/>
      <c r="V33" s="198"/>
      <c r="W33" s="20"/>
      <c r="BC33" t="str">
        <f t="shared" si="4"/>
        <v>Sian Thomas</v>
      </c>
      <c r="BD33">
        <f t="shared" si="5"/>
        <v>0</v>
      </c>
      <c r="BJ33">
        <f>IF(BO33&gt;0,"In","")</f>
      </c>
      <c r="BK33" s="41">
        <f t="shared" si="0"/>
      </c>
      <c r="BL33">
        <f t="shared" si="1"/>
      </c>
      <c r="BM33">
        <f t="shared" si="2"/>
      </c>
      <c r="BN33">
        <v>33</v>
      </c>
      <c r="BO33" s="41">
        <f t="shared" si="3"/>
        <v>0</v>
      </c>
      <c r="BP33">
        <f t="shared" si="6"/>
      </c>
      <c r="BQ33">
        <f>IF($BJ33="In",A33,"")</f>
      </c>
      <c r="BR33">
        <f>IF($BJ33="In",B33,"")</f>
      </c>
    </row>
    <row r="34" spans="1:67" ht="13.5" thickBot="1">
      <c r="A34" s="58" t="str">
        <f>CONCATENATE(A33,C34)</f>
        <v>Sian ThomasPoints</v>
      </c>
      <c r="B34" s="55"/>
      <c r="C34" s="54" t="s">
        <v>37</v>
      </c>
      <c r="D34" s="56">
        <f>IF(D33&gt;0,VLOOKUP(CONCATENATE($C$2,$B33),'Base Calculation'!$A$5:$O$89,D$5+2,FALSE)/D33*100,"")</f>
      </c>
      <c r="E34" s="56">
        <f>IF(E33&gt;0,VLOOKUP(CONCATENATE($C$2,$B33),'Base Calculation'!$A$5:$O$89,E$5+2,FALSE)/E33*100,"")</f>
      </c>
      <c r="F34" s="56">
        <f>IF(F33&gt;0,VLOOKUP(CONCATENATE($C$2,$B33),'Base Calculation'!$A$5:$O$89,F$5+2,FALSE)/F33*100,"")</f>
        <v>70.48528241845663</v>
      </c>
      <c r="G34" s="56">
        <f>IF(G33&gt;0,VLOOKUP(CONCATENATE($C$2,$B33),'Base Calculation'!$A$5:$O$89,G$5+2,FALSE)/G33*100,"")</f>
      </c>
      <c r="H34" s="56">
        <f>IF(H33&gt;0,VLOOKUP(CONCATENATE($C$2,$B33),'Base Calculation'!$A$5:$O$89,H$5+2,FALSE)/H33*100,"")</f>
      </c>
      <c r="I34" s="56">
        <f>IF(I33&gt;0,VLOOKUP(CONCATENATE($C$2,$B33),'Base Calculation'!$A$5:$O$89,I$5+2,FALSE)/I33*100,"")</f>
      </c>
      <c r="J34" s="56">
        <f>IF(J33&gt;0,VLOOKUP(CONCATENATE($C$2,$B33),'Base Calculation'!$A$5:$O$89,J$5+2,FALSE)/J33*100,"")</f>
      </c>
      <c r="K34" s="56">
        <f>IF(K33&gt;0,VLOOKUP(CONCATENATE($C$2,$B33),'Base Calculation'!$A$5:$O$89,K$5+2,FALSE)/K33*100,"")</f>
      </c>
      <c r="L34" s="56">
        <f>IF(L33&gt;0,VLOOKUP(CONCATENATE($C$2,$B33),'Base Calculation'!$A$5:$O$89,L$5+2,FALSE)/L33*100,"")</f>
      </c>
      <c r="M34" s="56">
        <f>IF(M33&gt;0,VLOOKUP(CONCATENATE($C$2,$B33),'Base Calculation'!$A$5:$O$89,M$5+2,FALSE)/M33*100,"")</f>
      </c>
      <c r="N34" s="56">
        <f>IF(N33&gt;0,VLOOKUP(CONCATENATE($C$2,$B33),'Base Calculation'!$A$5:$O$89,N$5+2,FALSE)/N33*100,"")</f>
      </c>
      <c r="O34" s="56">
        <f>IF(O33&gt;0,VLOOKUP(CONCATENATE($C$2,$B33),'Base Calculation'!$A$5:$O$89,O$5+2,FALSE)/O33*100,"")</f>
      </c>
      <c r="P34" s="56">
        <f>IF(P33&gt;0,VLOOKUP(CONCATENATE($C$2,$B33),'Base Calculation'!$A$5:$O$89,P$5+2,FALSE)/P33*100,"")</f>
      </c>
      <c r="Q34" s="56">
        <f>IF(Q33&gt;0,VLOOKUP(CONCATENATE($C$2,$B33),'Base Calculation'!$A$5:$O$89,Q$5+2,FALSE)/Q33*100,"")</f>
      </c>
      <c r="R34" s="56">
        <f>IF(R33&gt;0,VLOOKUP(CONCATENATE($C$2,$B33),'Base Calculation'!$A$5:$O$89,R$5+2,FALSE)/R33*100,"")</f>
      </c>
      <c r="S34" s="56">
        <f>IF(S33&gt;0,VLOOKUP(CONCATENATE($C$2,$B33),'Base Calculation'!$A$5:$O$89,S$5+2,FALSE)/S33*100,"")</f>
      </c>
      <c r="T34" s="82">
        <f>IF(T33&gt;0,VLOOKUP(CONCATENATE($C$2,$B33),'Base Calculation'!$A$5:$O$89,U33+2,FALSE)/T33*100,"")</f>
      </c>
      <c r="U34" s="86">
        <f>IF(U33&gt;0,VLOOKUP(U33,BF$2:BG$14,2,FALSE),"")</f>
      </c>
      <c r="V34" s="87">
        <f>V33</f>
        <v>0</v>
      </c>
      <c r="W34" s="20"/>
      <c r="AP34">
        <f>17-COUNTIF(D34:T34,"")</f>
        <v>1</v>
      </c>
      <c r="AQ34" t="str">
        <f>CONCATENATE($C$2,BB34)</f>
        <v>Female20</v>
      </c>
      <c r="AS34" s="25">
        <f>SUM(D34:H34)</f>
        <v>70.48528241845663</v>
      </c>
      <c r="AT34" s="25">
        <f>SUM(I34:M34)</f>
        <v>0</v>
      </c>
      <c r="AU34" s="25">
        <f>SUM(N34:S34)</f>
        <v>0</v>
      </c>
      <c r="AV34" s="25">
        <f>IF($AS34&gt;0,LARGE(D34:H34,1),0)</f>
        <v>70.48528241845663</v>
      </c>
      <c r="AW34" s="25">
        <f>IF($AT34&gt;0,LARGE(I34:M34,1),0)</f>
        <v>0</v>
      </c>
      <c r="AX34" s="25">
        <f>IF($AU34&gt;0,LARGE(N34:S34,1),0)</f>
        <v>0</v>
      </c>
      <c r="AY34" s="25">
        <f>IF('League Summary'!$X$2=1,T34,"")</f>
      </c>
      <c r="AZ34" s="25">
        <f>SUM(AV34:AY34)</f>
        <v>70.48528241845663</v>
      </c>
      <c r="BA34" t="str">
        <f>IF(AND(AV34&gt;0,AW34&gt;0,AX34&gt;0,(AP34&gt;=4)),"Q","NQ")</f>
        <v>NQ</v>
      </c>
      <c r="BB34">
        <f>IF(AZ34&gt;0,RANK(AZ34,AZ$8:AZ$86,0),"")</f>
        <v>20</v>
      </c>
      <c r="BC34" t="str">
        <f>A33</f>
        <v>Sian Thomas</v>
      </c>
      <c r="BD34">
        <f t="shared" si="5"/>
        <v>30</v>
      </c>
      <c r="BK34" s="41">
        <f t="shared" si="0"/>
      </c>
      <c r="BL34">
        <f t="shared" si="1"/>
      </c>
      <c r="BM34">
        <f t="shared" si="2"/>
      </c>
      <c r="BN34">
        <v>34</v>
      </c>
      <c r="BO34" s="108">
        <f t="shared" si="3"/>
      </c>
    </row>
    <row r="35" spans="1:70" ht="13.5" thickBot="1">
      <c r="A35" s="192" t="s">
        <v>236</v>
      </c>
      <c r="B35" s="193">
        <v>34</v>
      </c>
      <c r="C35" s="194" t="s">
        <v>36</v>
      </c>
      <c r="D35" s="195">
        <v>0</v>
      </c>
      <c r="E35" s="195">
        <v>0</v>
      </c>
      <c r="F35" s="195">
        <v>0</v>
      </c>
      <c r="G35" s="195">
        <v>0</v>
      </c>
      <c r="H35" s="195">
        <v>0</v>
      </c>
      <c r="I35" s="195">
        <v>0</v>
      </c>
      <c r="J35" s="195">
        <v>0</v>
      </c>
      <c r="K35" s="195">
        <v>0</v>
      </c>
      <c r="L35" s="195">
        <v>0</v>
      </c>
      <c r="M35" s="195">
        <v>0</v>
      </c>
      <c r="N35" s="195">
        <v>0</v>
      </c>
      <c r="O35" s="195">
        <v>0</v>
      </c>
      <c r="P35" s="195">
        <v>0</v>
      </c>
      <c r="Q35" s="195">
        <v>0</v>
      </c>
      <c r="R35" s="195">
        <v>0.07722222222222223</v>
      </c>
      <c r="S35" s="196">
        <v>0</v>
      </c>
      <c r="T35" s="196">
        <v>0</v>
      </c>
      <c r="U35" s="197"/>
      <c r="V35" s="198"/>
      <c r="W35" s="20"/>
      <c r="BC35" t="str">
        <f t="shared" si="4"/>
        <v>Gwen Clements</v>
      </c>
      <c r="BD35">
        <f t="shared" si="5"/>
        <v>0</v>
      </c>
      <c r="BJ35">
        <f>IF(BO35&gt;0,"In","")</f>
      </c>
      <c r="BK35" s="41">
        <f t="shared" si="0"/>
      </c>
      <c r="BL35">
        <f t="shared" si="1"/>
      </c>
      <c r="BM35">
        <f t="shared" si="2"/>
      </c>
      <c r="BN35">
        <v>35</v>
      </c>
      <c r="BO35" s="41">
        <f t="shared" si="3"/>
        <v>0</v>
      </c>
      <c r="BP35">
        <f t="shared" si="6"/>
      </c>
      <c r="BQ35">
        <f>IF($BJ35="In",A35,"")</f>
      </c>
      <c r="BR35">
        <f>IF($BJ35="In",B35,"")</f>
      </c>
    </row>
    <row r="36" spans="1:67" ht="13.5" thickBot="1">
      <c r="A36" s="58" t="str">
        <f>CONCATENATE(A35,C36)</f>
        <v>Gwen ClementsPoints</v>
      </c>
      <c r="B36" s="55"/>
      <c r="C36" s="54" t="s">
        <v>37</v>
      </c>
      <c r="D36" s="56">
        <f>IF(D35&gt;0,VLOOKUP(CONCATENATE($C$2,$B35),'Base Calculation'!$A$5:$O$89,D$5+2,FALSE)/D35*100,"")</f>
      </c>
      <c r="E36" s="56">
        <f>IF(E35&gt;0,VLOOKUP(CONCATENATE($C$2,$B35),'Base Calculation'!$A$5:$O$89,E$5+2,FALSE)/E35*100,"")</f>
      </c>
      <c r="F36" s="56">
        <f>IF(F35&gt;0,VLOOKUP(CONCATENATE($C$2,$B35),'Base Calculation'!$A$5:$O$89,F$5+2,FALSE)/F35*100,"")</f>
      </c>
      <c r="G36" s="56">
        <f>IF(G35&gt;0,VLOOKUP(CONCATENATE($C$2,$B35),'Base Calculation'!$A$5:$O$89,G$5+2,FALSE)/G35*100,"")</f>
      </c>
      <c r="H36" s="56">
        <f>IF(H35&gt;0,VLOOKUP(CONCATENATE($C$2,$B35),'Base Calculation'!$A$5:$O$89,H$5+2,FALSE)/H35*100,"")</f>
      </c>
      <c r="I36" s="56">
        <f>IF(I35&gt;0,VLOOKUP(CONCATENATE($C$2,$B35),'Base Calculation'!$A$5:$O$89,I$5+2,FALSE)/I35*100,"")</f>
      </c>
      <c r="J36" s="56">
        <f>IF(J35&gt;0,VLOOKUP(CONCATENATE($C$2,$B35),'Base Calculation'!$A$5:$O$89,J$5+2,FALSE)/J35*100,"")</f>
      </c>
      <c r="K36" s="56">
        <f>IF(K35&gt;0,VLOOKUP(CONCATENATE($C$2,$B35),'Base Calculation'!$A$5:$O$89,K$5+2,FALSE)/K35*100,"")</f>
      </c>
      <c r="L36" s="56">
        <f>IF(L35&gt;0,VLOOKUP(CONCATENATE($C$2,$B35),'Base Calculation'!$A$5:$O$89,L$5+2,FALSE)/L35*100,"")</f>
      </c>
      <c r="M36" s="56">
        <f>IF(M35&gt;0,VLOOKUP(CONCATENATE($C$2,$B35),'Base Calculation'!$A$5:$O$89,M$5+2,FALSE)/M35*100,"")</f>
      </c>
      <c r="N36" s="56">
        <f>IF(N35&gt;0,VLOOKUP(CONCATENATE($C$2,$B35),'Base Calculation'!$A$5:$O$89,N$5+2,FALSE)/N35*100,"")</f>
      </c>
      <c r="O36" s="56">
        <f>IF(O35&gt;0,VLOOKUP(CONCATENATE($C$2,$B35),'Base Calculation'!$A$5:$O$89,O$5+2,FALSE)/O35*100,"")</f>
      </c>
      <c r="P36" s="56">
        <f>IF(P35&gt;0,VLOOKUP(CONCATENATE($C$2,$B35),'Base Calculation'!$A$5:$O$89,P$5+2,FALSE)/P35*100,"")</f>
      </c>
      <c r="Q36" s="56">
        <f>IF(Q35&gt;0,VLOOKUP(CONCATENATE($C$2,$B35),'Base Calculation'!$A$5:$O$89,Q$5+2,FALSE)/Q35*100,"")</f>
      </c>
      <c r="R36" s="56">
        <f>IF(R35&gt;0,VLOOKUP(CONCATENATE($C$2,$B35),'Base Calculation'!$A$5:$O$89,R$5+2,FALSE)/R35*100,"")</f>
        <v>61.41420844304205</v>
      </c>
      <c r="S36" s="56">
        <f>IF(S35&gt;0,VLOOKUP(CONCATENATE($C$2,$B35),'Base Calculation'!$A$5:$O$89,S$5+2,FALSE)/S35*100,"")</f>
      </c>
      <c r="T36" s="82">
        <f>IF(T35&gt;0,VLOOKUP(CONCATENATE($C$2,$B35),'Base Calculation'!$A$5:$O$89,U35+2,FALSE)/T35*100,"")</f>
      </c>
      <c r="U36" s="86">
        <f>IF(U35&gt;0,VLOOKUP(U35,BF$2:BG$14,2,FALSE),"")</f>
      </c>
      <c r="V36" s="87">
        <f>V35</f>
        <v>0</v>
      </c>
      <c r="W36" s="20"/>
      <c r="AP36">
        <f>17-COUNTIF(D36:T36,"")</f>
        <v>1</v>
      </c>
      <c r="AQ36" t="str">
        <f>CONCATENATE($C$2,BB36)</f>
        <v>Female24</v>
      </c>
      <c r="AS36" s="25">
        <f>SUM(D36:H36)</f>
        <v>0</v>
      </c>
      <c r="AT36" s="25">
        <f>SUM(I36:M36)</f>
        <v>0</v>
      </c>
      <c r="AU36" s="25">
        <f>SUM(N36:S36)</f>
        <v>61.41420844304205</v>
      </c>
      <c r="AV36" s="25">
        <f>IF($AS36&gt;0,LARGE(D36:H36,1),0)</f>
        <v>0</v>
      </c>
      <c r="AW36" s="25">
        <f>IF($AT36&gt;0,LARGE(I36:M36,1),0)</f>
        <v>0</v>
      </c>
      <c r="AX36" s="25">
        <f>IF($AU36&gt;0,LARGE(N36:S36,1),0)</f>
        <v>61.41420844304205</v>
      </c>
      <c r="AY36" s="25">
        <f>IF('League Summary'!$X$2=1,T36,"")</f>
      </c>
      <c r="AZ36" s="25">
        <f>SUM(AV36:AY36)</f>
        <v>61.41420844304205</v>
      </c>
      <c r="BA36" t="str">
        <f>IF(AND(AV36&gt;0,AW36&gt;0,AX36&gt;0,(AP36&gt;=4)),"Q","NQ")</f>
        <v>NQ</v>
      </c>
      <c r="BB36">
        <f>IF(AZ36&gt;0,RANK(AZ36,AZ$8:AZ$86,0),"")</f>
        <v>24</v>
      </c>
      <c r="BC36" t="str">
        <f>A35</f>
        <v>Gwen Clements</v>
      </c>
      <c r="BD36">
        <f t="shared" si="5"/>
        <v>34</v>
      </c>
      <c r="BK36" s="41">
        <f t="shared" si="0"/>
      </c>
      <c r="BL36">
        <f t="shared" si="1"/>
      </c>
      <c r="BM36">
        <f t="shared" si="2"/>
      </c>
      <c r="BN36">
        <v>36</v>
      </c>
      <c r="BO36" s="108">
        <f t="shared" si="3"/>
      </c>
    </row>
    <row r="37" spans="1:70" ht="13.5" thickBot="1">
      <c r="A37" s="192" t="s">
        <v>237</v>
      </c>
      <c r="B37" s="193">
        <v>43</v>
      </c>
      <c r="C37" s="194" t="s">
        <v>36</v>
      </c>
      <c r="D37" s="195">
        <v>0</v>
      </c>
      <c r="E37" s="195">
        <v>0</v>
      </c>
      <c r="F37" s="195">
        <v>0</v>
      </c>
      <c r="G37" s="195">
        <v>0</v>
      </c>
      <c r="H37" s="195">
        <v>0</v>
      </c>
      <c r="I37" s="195">
        <v>0</v>
      </c>
      <c r="J37" s="195">
        <v>0</v>
      </c>
      <c r="K37" s="195">
        <v>0</v>
      </c>
      <c r="L37" s="195">
        <v>0</v>
      </c>
      <c r="M37" s="195">
        <v>0.03579861111111111</v>
      </c>
      <c r="N37" s="195">
        <v>0</v>
      </c>
      <c r="O37" s="195">
        <v>0</v>
      </c>
      <c r="P37" s="195">
        <v>0</v>
      </c>
      <c r="Q37" s="195">
        <v>0</v>
      </c>
      <c r="R37" s="195">
        <v>0.07738425925925925</v>
      </c>
      <c r="S37" s="196">
        <v>0</v>
      </c>
      <c r="T37" s="196">
        <v>0</v>
      </c>
      <c r="U37" s="197"/>
      <c r="V37" s="198"/>
      <c r="W37" s="20"/>
      <c r="BC37" t="str">
        <f t="shared" si="4"/>
        <v>Marion Garson</v>
      </c>
      <c r="BD37">
        <f t="shared" si="5"/>
        <v>0</v>
      </c>
      <c r="BJ37" t="str">
        <f>IF(BO37&gt;0,"In","")</f>
        <v>In</v>
      </c>
      <c r="BK37" s="41">
        <f t="shared" si="0"/>
        <v>0.03579861111111111</v>
      </c>
      <c r="BL37">
        <f t="shared" si="1"/>
        <v>11</v>
      </c>
      <c r="BM37" t="str">
        <f t="shared" si="2"/>
        <v>In11</v>
      </c>
      <c r="BN37">
        <v>37</v>
      </c>
      <c r="BO37" s="41">
        <f t="shared" si="3"/>
        <v>0.03579861111111111</v>
      </c>
      <c r="BP37">
        <f t="shared" si="6"/>
        <v>64.42249427686491</v>
      </c>
      <c r="BQ37" t="str">
        <f>IF($BJ37="In",A37,"")</f>
        <v>Marion Garson</v>
      </c>
      <c r="BR37">
        <f>IF($BJ37="In",B37,"")</f>
        <v>43</v>
      </c>
    </row>
    <row r="38" spans="1:67" ht="13.5" thickBot="1">
      <c r="A38" s="58" t="str">
        <f>CONCATENATE(A37,C38)</f>
        <v>Marion GarsonPoints</v>
      </c>
      <c r="B38" s="55"/>
      <c r="C38" s="54" t="s">
        <v>37</v>
      </c>
      <c r="D38" s="56">
        <f>IF(D37&gt;0,VLOOKUP(CONCATENATE($C$2,$B37),'Base Calculation'!$A$5:$O$89,D$5+2,FALSE)/D37*100,"")</f>
      </c>
      <c r="E38" s="56">
        <f>IF(E37&gt;0,VLOOKUP(CONCATENATE($C$2,$B37),'Base Calculation'!$A$5:$O$89,E$5+2,FALSE)/E37*100,"")</f>
      </c>
      <c r="F38" s="56">
        <f>IF(F37&gt;0,VLOOKUP(CONCATENATE($C$2,$B37),'Base Calculation'!$A$5:$O$89,F$5+2,FALSE)/F37*100,"")</f>
      </c>
      <c r="G38" s="56">
        <f>IF(G37&gt;0,VLOOKUP(CONCATENATE($C$2,$B37),'Base Calculation'!$A$5:$O$89,G$5+2,FALSE)/G37*100,"")</f>
      </c>
      <c r="H38" s="56">
        <f>IF(H37&gt;0,VLOOKUP(CONCATENATE($C$2,$B37),'Base Calculation'!$A$5:$O$89,H$5+2,FALSE)/H37*100,"")</f>
      </c>
      <c r="I38" s="56">
        <f>IF(I37&gt;0,VLOOKUP(CONCATENATE($C$2,$B37),'Base Calculation'!$A$5:$O$89,I$5+2,FALSE)/I37*100,"")</f>
      </c>
      <c r="J38" s="56">
        <f>IF(J37&gt;0,VLOOKUP(CONCATENATE($C$2,$B37),'Base Calculation'!$A$5:$O$89,J$5+2,FALSE)/J37*100,"")</f>
      </c>
      <c r="K38" s="56">
        <f>IF(K37&gt;0,VLOOKUP(CONCATENATE($C$2,$B37),'Base Calculation'!$A$5:$O$89,K$5+2,FALSE)/K37*100,"")</f>
      </c>
      <c r="L38" s="56">
        <f>IF(L37&gt;0,VLOOKUP(CONCATENATE($C$2,$B37),'Base Calculation'!$A$5:$O$89,L$5+2,FALSE)/L37*100,"")</f>
      </c>
      <c r="M38" s="56">
        <f>IF(M37&gt;0,VLOOKUP(CONCATENATE($C$2,$B37),'Base Calculation'!$A$5:$O$89,M$5+2,FALSE)/M37*100,"")</f>
        <v>64.42249427686491</v>
      </c>
      <c r="N38" s="56">
        <f>IF(N37&gt;0,VLOOKUP(CONCATENATE($C$2,$B37),'Base Calculation'!$A$5:$O$89,N$5+2,FALSE)/N37*100,"")</f>
      </c>
      <c r="O38" s="56">
        <f>IF(O37&gt;0,VLOOKUP(CONCATENATE($C$2,$B37),'Base Calculation'!$A$5:$O$89,O$5+2,FALSE)/O37*100,"")</f>
      </c>
      <c r="P38" s="56">
        <f>IF(P37&gt;0,VLOOKUP(CONCATENATE($C$2,$B37),'Base Calculation'!$A$5:$O$89,P$5+2,FALSE)/P37*100,"")</f>
      </c>
      <c r="Q38" s="56">
        <f>IF(Q37&gt;0,VLOOKUP(CONCATENATE($C$2,$B37),'Base Calculation'!$A$5:$O$89,Q$5+2,FALSE)/Q37*100,"")</f>
      </c>
      <c r="R38" s="56">
        <f>IF(R37&gt;0,VLOOKUP(CONCATENATE($C$2,$B37),'Base Calculation'!$A$5:$O$89,R$5+2,FALSE)/R37*100,"")</f>
        <v>65.32722860408543</v>
      </c>
      <c r="S38" s="56">
        <f>IF(S37&gt;0,VLOOKUP(CONCATENATE($C$2,$B37),'Base Calculation'!$A$5:$O$89,S$5+2,FALSE)/S37*100,"")</f>
      </c>
      <c r="T38" s="82">
        <f>IF(T37&gt;0,VLOOKUP(CONCATENATE($C$2,$B37),'Base Calculation'!$A$5:$O$89,U37+2,FALSE)/T37*100,"")</f>
      </c>
      <c r="U38" s="86">
        <f>IF(U37&gt;0,VLOOKUP(U37,BF$2:BG$14,2,FALSE),"")</f>
      </c>
      <c r="V38" s="87">
        <f>V37</f>
        <v>0</v>
      </c>
      <c r="W38" s="20"/>
      <c r="AP38">
        <f>17-COUNTIF(D38:T38,"")</f>
        <v>2</v>
      </c>
      <c r="AQ38" t="str">
        <f>CONCATENATE($C$2,BB38)</f>
        <v>Female14</v>
      </c>
      <c r="AS38" s="25">
        <f>SUM(D38:H38)</f>
        <v>0</v>
      </c>
      <c r="AT38" s="25">
        <f>SUM(I38:M38)</f>
        <v>64.42249427686491</v>
      </c>
      <c r="AU38" s="25">
        <f>SUM(N38:S38)</f>
        <v>65.32722860408543</v>
      </c>
      <c r="AV38" s="25">
        <f>IF($AS38&gt;0,LARGE(D38:H38,1),0)</f>
        <v>0</v>
      </c>
      <c r="AW38" s="25">
        <f>IF($AT38&gt;0,LARGE(I38:M38,1),0)</f>
        <v>64.42249427686491</v>
      </c>
      <c r="AX38" s="25">
        <f>IF($AU38&gt;0,LARGE(N38:S38,1),0)</f>
        <v>65.32722860408543</v>
      </c>
      <c r="AY38" s="25">
        <f>IF('League Summary'!$X$2=1,T38,"")</f>
      </c>
      <c r="AZ38" s="25">
        <f>SUM(AV38:AY38)</f>
        <v>129.74972288095034</v>
      </c>
      <c r="BA38" t="str">
        <f>IF(AND(AV38&gt;0,AW38&gt;0,AX38&gt;0,(AP38&gt;=4)),"Q","NQ")</f>
        <v>NQ</v>
      </c>
      <c r="BB38">
        <f>IF(AZ38&gt;0,RANK(AZ38,AZ$8:AZ$86,0),"")</f>
        <v>14</v>
      </c>
      <c r="BC38" t="str">
        <f>A37</f>
        <v>Marion Garson</v>
      </c>
      <c r="BD38">
        <f t="shared" si="5"/>
        <v>43</v>
      </c>
      <c r="BK38" s="41">
        <f t="shared" si="0"/>
      </c>
      <c r="BL38">
        <f t="shared" si="1"/>
      </c>
      <c r="BM38">
        <f t="shared" si="2"/>
      </c>
      <c r="BN38">
        <v>38</v>
      </c>
      <c r="BO38" s="108">
        <f t="shared" si="3"/>
        <v>64.42249427686491</v>
      </c>
    </row>
    <row r="39" spans="1:70" ht="13.5" thickBot="1">
      <c r="A39" s="192" t="s">
        <v>238</v>
      </c>
      <c r="B39" s="193">
        <v>34</v>
      </c>
      <c r="C39" s="194" t="s">
        <v>36</v>
      </c>
      <c r="D39" s="195">
        <v>0</v>
      </c>
      <c r="E39" s="195">
        <v>0</v>
      </c>
      <c r="F39" s="195">
        <v>0</v>
      </c>
      <c r="G39" s="195">
        <v>0</v>
      </c>
      <c r="H39" s="195">
        <v>0.01851851851851852</v>
      </c>
      <c r="I39" s="195">
        <v>0</v>
      </c>
      <c r="J39" s="195">
        <v>0</v>
      </c>
      <c r="K39" s="195">
        <v>0</v>
      </c>
      <c r="L39" s="195">
        <v>0</v>
      </c>
      <c r="M39" s="195">
        <v>0</v>
      </c>
      <c r="N39" s="195">
        <v>0</v>
      </c>
      <c r="O39" s="195">
        <v>0</v>
      </c>
      <c r="P39" s="195">
        <v>0</v>
      </c>
      <c r="Q39" s="195">
        <v>0</v>
      </c>
      <c r="R39" s="195">
        <v>0.08418981481481481</v>
      </c>
      <c r="S39" s="196">
        <v>0.06407407407407407</v>
      </c>
      <c r="T39" s="196">
        <v>0</v>
      </c>
      <c r="U39" s="197"/>
      <c r="V39" s="198"/>
      <c r="W39" s="20"/>
      <c r="BC39" t="str">
        <f t="shared" si="4"/>
        <v>Anna Bradley</v>
      </c>
      <c r="BD39">
        <f t="shared" si="5"/>
        <v>0</v>
      </c>
      <c r="BJ39">
        <f>IF(BO39&gt;0,"In","")</f>
      </c>
      <c r="BK39" s="41">
        <f aca="true" t="shared" si="7" ref="BK39:BK65">IF(BJ39="In",BO39,"")</f>
      </c>
      <c r="BL39">
        <f aca="true" t="shared" si="8" ref="BL39:BL65">IF(BJ39="In",RANK(BK39,BK$7:BK$86,1),"")</f>
      </c>
      <c r="BM39">
        <f t="shared" si="2"/>
      </c>
      <c r="BN39">
        <v>39</v>
      </c>
      <c r="BO39" s="41">
        <f aca="true" t="shared" si="9" ref="BO39:BO70">HLOOKUP($BO$4,D$4:S$86,BN39-3,FALSE)</f>
        <v>0</v>
      </c>
      <c r="BP39">
        <f t="shared" si="6"/>
      </c>
      <c r="BQ39">
        <f>IF($BJ39="In",A39,"")</f>
      </c>
      <c r="BR39">
        <f>IF($BJ39="In",B39,"")</f>
      </c>
    </row>
    <row r="40" spans="1:67" ht="13.5" thickBot="1">
      <c r="A40" s="58" t="str">
        <f>CONCATENATE(A39,C40)</f>
        <v>Anna BradleyPoints</v>
      </c>
      <c r="B40" s="55"/>
      <c r="C40" s="54" t="s">
        <v>37</v>
      </c>
      <c r="D40" s="56">
        <f>IF(D39&gt;0,VLOOKUP(CONCATENATE($C$2,$B39),'Base Calculation'!$A$5:$O$89,D$5+2,FALSE)/D39*100,"")</f>
      </c>
      <c r="E40" s="56">
        <f>IF(E39&gt;0,VLOOKUP(CONCATENATE($C$2,$B39),'Base Calculation'!$A$5:$O$89,E$5+2,FALSE)/E39*100,"")</f>
      </c>
      <c r="F40" s="56">
        <f>IF(F39&gt;0,VLOOKUP(CONCATENATE($C$2,$B39),'Base Calculation'!$A$5:$O$89,F$5+2,FALSE)/F39*100,"")</f>
      </c>
      <c r="G40" s="56">
        <f>IF(G39&gt;0,VLOOKUP(CONCATENATE($C$2,$B39),'Base Calculation'!$A$5:$O$89,G$5+2,FALSE)/G39*100,"")</f>
      </c>
      <c r="H40" s="56">
        <f>IF(H39&gt;0,VLOOKUP(CONCATENATE($C$2,$B39),'Base Calculation'!$A$5:$O$89,H$5+2,FALSE)/H39*100,"")</f>
        <v>56.62644442172</v>
      </c>
      <c r="I40" s="56">
        <f>IF(I39&gt;0,VLOOKUP(CONCATENATE($C$2,$B39),'Base Calculation'!$A$5:$O$89,I$5+2,FALSE)/I39*100,"")</f>
      </c>
      <c r="J40" s="56">
        <f>IF(J39&gt;0,VLOOKUP(CONCATENATE($C$2,$B39),'Base Calculation'!$A$5:$O$89,J$5+2,FALSE)/J39*100,"")</f>
      </c>
      <c r="K40" s="56">
        <f>IF(K39&gt;0,VLOOKUP(CONCATENATE($C$2,$B39),'Base Calculation'!$A$5:$O$89,K$5+2,FALSE)/K39*100,"")</f>
      </c>
      <c r="L40" s="56">
        <f>IF(L39&gt;0,VLOOKUP(CONCATENATE($C$2,$B39),'Base Calculation'!$A$5:$O$89,L$5+2,FALSE)/L39*100,"")</f>
      </c>
      <c r="M40" s="56">
        <f>IF(M39&gt;0,VLOOKUP(CONCATENATE($C$2,$B39),'Base Calculation'!$A$5:$O$89,M$5+2,FALSE)/M39*100,"")</f>
      </c>
      <c r="N40" s="56">
        <f>IF(N39&gt;0,VLOOKUP(CONCATENATE($C$2,$B39),'Base Calculation'!$A$5:$O$89,N$5+2,FALSE)/N39*100,"")</f>
      </c>
      <c r="O40" s="56">
        <f>IF(O39&gt;0,VLOOKUP(CONCATENATE($C$2,$B39),'Base Calculation'!$A$5:$O$89,O$5+2,FALSE)/O39*100,"")</f>
      </c>
      <c r="P40" s="56">
        <f>IF(P39&gt;0,VLOOKUP(CONCATENATE($C$2,$B39),'Base Calculation'!$A$5:$O$89,P$5+2,FALSE)/P39*100,"")</f>
      </c>
      <c r="Q40" s="56">
        <f>IF(Q39&gt;0,VLOOKUP(CONCATENATE($C$2,$B39),'Base Calculation'!$A$5:$O$89,Q$5+2,FALSE)/Q39*100,"")</f>
      </c>
      <c r="R40" s="56">
        <f>IF(R39&gt;0,VLOOKUP(CONCATENATE($C$2,$B39),'Base Calculation'!$A$5:$O$89,R$5+2,FALSE)/R39*100,"")</f>
        <v>56.33153680670561</v>
      </c>
      <c r="S40" s="56">
        <f>IF(S39&gt;0,VLOOKUP(CONCATENATE($C$2,$B39),'Base Calculation'!$A$5:$O$89,S$5+2,FALSE)/S39*100,"")</f>
        <v>57.83523972272777</v>
      </c>
      <c r="T40" s="82">
        <f>IF(T39&gt;0,VLOOKUP(CONCATENATE($C$2,$B39),'Base Calculation'!$A$5:$O$89,U39+2,FALSE)/T39*100,"")</f>
      </c>
      <c r="U40" s="86">
        <f>IF(U39&gt;0,VLOOKUP(U39,BF$2:BG$14,2,FALSE),"")</f>
      </c>
      <c r="V40" s="87">
        <f>V39</f>
        <v>0</v>
      </c>
      <c r="W40" s="20"/>
      <c r="AP40">
        <f>17-COUNTIF(D40:T40,"")</f>
        <v>3</v>
      </c>
      <c r="AQ40" t="str">
        <f>CONCATENATE($C$2,BB40)</f>
        <v>Female16</v>
      </c>
      <c r="AS40" s="25">
        <f>SUM(D40:H40)</f>
        <v>56.62644442172</v>
      </c>
      <c r="AT40" s="25">
        <f>SUM(I40:M40)</f>
        <v>0</v>
      </c>
      <c r="AU40" s="25">
        <f>SUM(N40:S40)</f>
        <v>114.16677652943338</v>
      </c>
      <c r="AV40" s="25">
        <f>IF($AS40&gt;0,LARGE(D40:H40,1),0)</f>
        <v>56.62644442172</v>
      </c>
      <c r="AW40" s="25">
        <f>IF($AT40&gt;0,LARGE(I40:M40,1),0)</f>
        <v>0</v>
      </c>
      <c r="AX40" s="25">
        <f>IF($AU40&gt;0,LARGE(N40:S40,1),0)</f>
        <v>57.83523972272777</v>
      </c>
      <c r="AY40" s="25">
        <f>IF('League Summary'!$X$2=1,T40,"")</f>
      </c>
      <c r="AZ40" s="25">
        <f>SUM(AV40:AY40)</f>
        <v>114.46168414444777</v>
      </c>
      <c r="BA40" t="str">
        <f>IF(AND(AV40&gt;0,AW40&gt;0,AX40&gt;0,(AP40&gt;=4)),"Q","NQ")</f>
        <v>NQ</v>
      </c>
      <c r="BB40">
        <f>IF(AZ40&gt;0,RANK(AZ40,AZ$8:AZ$86,0),"")</f>
        <v>16</v>
      </c>
      <c r="BC40" t="str">
        <f>A39</f>
        <v>Anna Bradley</v>
      </c>
      <c r="BD40">
        <f t="shared" si="5"/>
        <v>34</v>
      </c>
      <c r="BK40" s="41">
        <f t="shared" si="7"/>
      </c>
      <c r="BL40">
        <f t="shared" si="8"/>
      </c>
      <c r="BM40">
        <f t="shared" si="2"/>
      </c>
      <c r="BN40">
        <v>40</v>
      </c>
      <c r="BO40" s="108">
        <f t="shared" si="9"/>
      </c>
    </row>
    <row r="41" spans="1:70" ht="13.5" thickBot="1">
      <c r="A41" s="192" t="s">
        <v>239</v>
      </c>
      <c r="B41" s="193">
        <v>54</v>
      </c>
      <c r="C41" s="194" t="s">
        <v>36</v>
      </c>
      <c r="D41" s="195">
        <v>0</v>
      </c>
      <c r="E41" s="195">
        <v>0</v>
      </c>
      <c r="F41" s="195">
        <v>0</v>
      </c>
      <c r="G41" s="195">
        <v>0</v>
      </c>
      <c r="H41" s="195">
        <v>0</v>
      </c>
      <c r="I41" s="195">
        <v>0</v>
      </c>
      <c r="J41" s="195">
        <v>0</v>
      </c>
      <c r="K41" s="195">
        <v>0</v>
      </c>
      <c r="L41" s="195">
        <v>0</v>
      </c>
      <c r="M41" s="195">
        <v>0</v>
      </c>
      <c r="N41" s="195">
        <v>0</v>
      </c>
      <c r="O41" s="195">
        <v>0</v>
      </c>
      <c r="P41" s="195">
        <v>0</v>
      </c>
      <c r="Q41" s="195">
        <v>0</v>
      </c>
      <c r="R41" s="195">
        <v>0.11850694444444444</v>
      </c>
      <c r="S41" s="196">
        <v>0</v>
      </c>
      <c r="T41" s="196">
        <v>0</v>
      </c>
      <c r="U41" s="197"/>
      <c r="V41" s="198"/>
      <c r="W41" s="20"/>
      <c r="BC41" t="str">
        <f t="shared" si="4"/>
        <v>Tina Hansen</v>
      </c>
      <c r="BD41">
        <f t="shared" si="5"/>
        <v>0</v>
      </c>
      <c r="BJ41">
        <f>IF(BO41&gt;0,"In","")</f>
      </c>
      <c r="BK41" s="41">
        <f t="shared" si="7"/>
      </c>
      <c r="BL41">
        <f t="shared" si="8"/>
      </c>
      <c r="BM41">
        <f t="shared" si="2"/>
      </c>
      <c r="BN41">
        <v>41</v>
      </c>
      <c r="BO41" s="41">
        <f t="shared" si="9"/>
        <v>0</v>
      </c>
      <c r="BP41">
        <f t="shared" si="6"/>
      </c>
      <c r="BQ41">
        <f>IF($BJ41="In",A41,"")</f>
      </c>
      <c r="BR41">
        <f>IF($BJ41="In",B41,"")</f>
      </c>
    </row>
    <row r="42" spans="1:67" ht="13.5" thickBot="1">
      <c r="A42" s="58" t="str">
        <f>CONCATENATE(A41,C42)</f>
        <v>Tina HansenPoints</v>
      </c>
      <c r="B42" s="55"/>
      <c r="C42" s="54" t="s">
        <v>37</v>
      </c>
      <c r="D42" s="56">
        <f>IF(D41&gt;0,VLOOKUP(CONCATENATE($C$2,$B41),'Base Calculation'!$A$5:$O$89,D$5+2,FALSE)/D41*100,"")</f>
      </c>
      <c r="E42" s="56">
        <f>IF(E41&gt;0,VLOOKUP(CONCATENATE($C$2,$B41),'Base Calculation'!$A$5:$O$89,E$5+2,FALSE)/E41*100,"")</f>
      </c>
      <c r="F42" s="56">
        <f>IF(F41&gt;0,VLOOKUP(CONCATENATE($C$2,$B41),'Base Calculation'!$A$5:$O$89,F$5+2,FALSE)/F41*100,"")</f>
      </c>
      <c r="G42" s="56">
        <f>IF(G41&gt;0,VLOOKUP(CONCATENATE($C$2,$B41),'Base Calculation'!$A$5:$O$89,G$5+2,FALSE)/G41*100,"")</f>
      </c>
      <c r="H42" s="56">
        <f>IF(H41&gt;0,VLOOKUP(CONCATENATE($C$2,$B41),'Base Calculation'!$A$5:$O$89,H$5+2,FALSE)/H41*100,"")</f>
      </c>
      <c r="I42" s="56">
        <f>IF(I41&gt;0,VLOOKUP(CONCATENATE($C$2,$B41),'Base Calculation'!$A$5:$O$89,I$5+2,FALSE)/I41*100,"")</f>
      </c>
      <c r="J42" s="56">
        <f>IF(J41&gt;0,VLOOKUP(CONCATENATE($C$2,$B41),'Base Calculation'!$A$5:$O$89,J$5+2,FALSE)/J41*100,"")</f>
      </c>
      <c r="K42" s="56">
        <f>IF(K41&gt;0,VLOOKUP(CONCATENATE($C$2,$B41),'Base Calculation'!$A$5:$O$89,K$5+2,FALSE)/K41*100,"")</f>
      </c>
      <c r="L42" s="56">
        <f>IF(L41&gt;0,VLOOKUP(CONCATENATE($C$2,$B41),'Base Calculation'!$A$5:$O$89,L$5+2,FALSE)/L41*100,"")</f>
      </c>
      <c r="M42" s="56">
        <f>IF(M41&gt;0,VLOOKUP(CONCATENATE($C$2,$B41),'Base Calculation'!$A$5:$O$89,M$5+2,FALSE)/M41*100,"")</f>
      </c>
      <c r="N42" s="56">
        <f>IF(N41&gt;0,VLOOKUP(CONCATENATE($C$2,$B41),'Base Calculation'!$A$5:$O$89,N$5+2,FALSE)/N41*100,"")</f>
      </c>
      <c r="O42" s="56">
        <f>IF(O41&gt;0,VLOOKUP(CONCATENATE($C$2,$B41),'Base Calculation'!$A$5:$O$89,O$5+2,FALSE)/O41*100,"")</f>
      </c>
      <c r="P42" s="56">
        <f>IF(P41&gt;0,VLOOKUP(CONCATENATE($C$2,$B41),'Base Calculation'!$A$5:$O$89,P$5+2,FALSE)/P41*100,"")</f>
      </c>
      <c r="Q42" s="56">
        <f>IF(Q41&gt;0,VLOOKUP(CONCATENATE($C$2,$B41),'Base Calculation'!$A$5:$O$89,Q$5+2,FALSE)/Q41*100,"")</f>
      </c>
      <c r="R42" s="56">
        <f>IF(R41&gt;0,VLOOKUP(CONCATENATE($C$2,$B41),'Base Calculation'!$A$5:$O$89,R$5+2,FALSE)/R41*100,"")</f>
        <v>46.76147821866799</v>
      </c>
      <c r="S42" s="56">
        <f>IF(S41&gt;0,VLOOKUP(CONCATENATE($C$2,$B41),'Base Calculation'!$A$5:$O$89,S$5+2,FALSE)/S41*100,"")</f>
      </c>
      <c r="T42" s="82">
        <f>IF(T41&gt;0,VLOOKUP(CONCATENATE($C$2,$B41),'Base Calculation'!$A$5:$O$89,U41+2,FALSE)/T41*100,"")</f>
      </c>
      <c r="U42" s="86">
        <f>IF(U41&gt;0,VLOOKUP(U41,BF$2:BG$14,2,FALSE),"")</f>
      </c>
      <c r="V42" s="87">
        <f>V41</f>
        <v>0</v>
      </c>
      <c r="W42" s="20"/>
      <c r="AP42">
        <f>17-COUNTIF(D42:T42,"")</f>
        <v>1</v>
      </c>
      <c r="AQ42" t="str">
        <f>CONCATENATE($C$2,BB42)</f>
        <v>Female30</v>
      </c>
      <c r="AS42" s="25">
        <f>SUM(D42:H42)</f>
        <v>0</v>
      </c>
      <c r="AT42" s="25">
        <f>SUM(I42:M42)</f>
        <v>0</v>
      </c>
      <c r="AU42" s="25">
        <f>SUM(N42:S42)</f>
        <v>46.76147821866799</v>
      </c>
      <c r="AV42" s="25">
        <f>IF($AS42&gt;0,LARGE(D42:H42,1),0)</f>
        <v>0</v>
      </c>
      <c r="AW42" s="25">
        <f>IF($AT42&gt;0,LARGE(I42:M42,1),0)</f>
        <v>0</v>
      </c>
      <c r="AX42" s="25">
        <f>IF($AU42&gt;0,LARGE(N42:S42,1),0)</f>
        <v>46.76147821866799</v>
      </c>
      <c r="AY42" s="25">
        <f>IF('League Summary'!$X$2=1,T42,"")</f>
      </c>
      <c r="AZ42" s="25">
        <f>SUM(AV42:AY42)</f>
        <v>46.76147821866799</v>
      </c>
      <c r="BA42" t="str">
        <f>IF(AND(AV42&gt;0,AW42&gt;0,AX42&gt;0,(AP42&gt;=4)),"Q","NQ")</f>
        <v>NQ</v>
      </c>
      <c r="BB42">
        <f>IF(AZ42&gt;0,RANK(AZ42,AZ$8:AZ$86,0),"")</f>
        <v>30</v>
      </c>
      <c r="BC42" t="str">
        <f>A41</f>
        <v>Tina Hansen</v>
      </c>
      <c r="BD42">
        <f t="shared" si="5"/>
        <v>54</v>
      </c>
      <c r="BK42" s="41">
        <f t="shared" si="7"/>
      </c>
      <c r="BL42">
        <f t="shared" si="8"/>
      </c>
      <c r="BM42">
        <f t="shared" si="2"/>
      </c>
      <c r="BN42">
        <v>42</v>
      </c>
      <c r="BO42" s="108">
        <f t="shared" si="9"/>
      </c>
    </row>
    <row r="43" spans="1:70" ht="13.5" thickBot="1">
      <c r="A43" s="192" t="s">
        <v>243</v>
      </c>
      <c r="B43" s="193">
        <v>34</v>
      </c>
      <c r="C43" s="194" t="s">
        <v>36</v>
      </c>
      <c r="D43" s="195">
        <v>0</v>
      </c>
      <c r="E43" s="195">
        <v>0</v>
      </c>
      <c r="F43" s="195">
        <v>0</v>
      </c>
      <c r="G43" s="195">
        <v>0</v>
      </c>
      <c r="H43" s="195">
        <v>0.01528935185185185</v>
      </c>
      <c r="I43" s="195">
        <v>0</v>
      </c>
      <c r="J43" s="195">
        <v>0</v>
      </c>
      <c r="K43" s="195">
        <v>0</v>
      </c>
      <c r="L43" s="195">
        <v>0</v>
      </c>
      <c r="M43" s="195">
        <v>0.03288194444444444</v>
      </c>
      <c r="N43" s="195">
        <v>0</v>
      </c>
      <c r="O43" s="195">
        <v>0</v>
      </c>
      <c r="P43" s="195">
        <v>0</v>
      </c>
      <c r="Q43" s="195">
        <v>0</v>
      </c>
      <c r="R43" s="195">
        <v>0</v>
      </c>
      <c r="S43" s="196">
        <v>0</v>
      </c>
      <c r="T43" s="196">
        <v>0</v>
      </c>
      <c r="U43" s="197"/>
      <c r="V43" s="198"/>
      <c r="W43" s="20"/>
      <c r="BC43" t="str">
        <f t="shared" si="4"/>
        <v>Elizabeth Stieler</v>
      </c>
      <c r="BD43">
        <f t="shared" si="5"/>
        <v>0</v>
      </c>
      <c r="BJ43" t="str">
        <f>IF(BO43&gt;0,"In","")</f>
        <v>In</v>
      </c>
      <c r="BK43" s="41">
        <f t="shared" si="7"/>
        <v>0.03288194444444444</v>
      </c>
      <c r="BL43">
        <f t="shared" si="8"/>
        <v>3</v>
      </c>
      <c r="BM43" t="str">
        <f t="shared" si="2"/>
        <v>In3</v>
      </c>
      <c r="BN43">
        <v>43</v>
      </c>
      <c r="BO43" s="41">
        <f t="shared" si="9"/>
        <v>0.03288194444444444</v>
      </c>
      <c r="BP43">
        <f t="shared" si="6"/>
        <v>65.7976695026974</v>
      </c>
      <c r="BQ43" t="str">
        <f>IF($BJ43="In",A43,"")</f>
        <v>Elizabeth Stieler</v>
      </c>
      <c r="BR43">
        <f>IF($BJ43="In",B43,"")</f>
        <v>34</v>
      </c>
    </row>
    <row r="44" spans="1:67" ht="13.5" thickBot="1">
      <c r="A44" s="58" t="str">
        <f>CONCATENATE(A43,C44)</f>
        <v>Elizabeth StielerPoints</v>
      </c>
      <c r="B44" s="55"/>
      <c r="C44" s="54" t="s">
        <v>37</v>
      </c>
      <c r="D44" s="56">
        <f>IF(D43&gt;0,VLOOKUP(CONCATENATE($C$2,$B43),'Base Calculation'!$A$5:$O$89,D$5+2,FALSE)/D43*100,"")</f>
      </c>
      <c r="E44" s="56">
        <f>IF(E43&gt;0,VLOOKUP(CONCATENATE($C$2,$B43),'Base Calculation'!$A$5:$O$89,E$5+2,FALSE)/E43*100,"")</f>
      </c>
      <c r="F44" s="56">
        <f>IF(F43&gt;0,VLOOKUP(CONCATENATE($C$2,$B43),'Base Calculation'!$A$5:$O$89,F$5+2,FALSE)/F43*100,"")</f>
      </c>
      <c r="G44" s="56">
        <f>IF(G43&gt;0,VLOOKUP(CONCATENATE($C$2,$B43),'Base Calculation'!$A$5:$O$89,G$5+2,FALSE)/G43*100,"")</f>
      </c>
      <c r="H44" s="56">
        <f>IF(H43&gt;0,VLOOKUP(CONCATENATE($C$2,$B43),'Base Calculation'!$A$5:$O$89,H$5+2,FALSE)/H43*100,"")</f>
        <v>68.58615524205301</v>
      </c>
      <c r="I44" s="56">
        <f>IF(I43&gt;0,VLOOKUP(CONCATENATE($C$2,$B43),'Base Calculation'!$A$5:$O$89,I$5+2,FALSE)/I43*100,"")</f>
      </c>
      <c r="J44" s="56">
        <f>IF(J43&gt;0,VLOOKUP(CONCATENATE($C$2,$B43),'Base Calculation'!$A$5:$O$89,J$5+2,FALSE)/J43*100,"")</f>
      </c>
      <c r="K44" s="56">
        <f>IF(K43&gt;0,VLOOKUP(CONCATENATE($C$2,$B43),'Base Calculation'!$A$5:$O$89,K$5+2,FALSE)/K43*100,"")</f>
      </c>
      <c r="L44" s="56">
        <f>IF(L43&gt;0,VLOOKUP(CONCATENATE($C$2,$B43),'Base Calculation'!$A$5:$O$89,L$5+2,FALSE)/L43*100,"")</f>
      </c>
      <c r="M44" s="56">
        <f>IF(M43&gt;0,VLOOKUP(CONCATENATE($C$2,$B43),'Base Calculation'!$A$5:$O$89,M$5+2,FALSE)/M43*100,"")</f>
        <v>65.7976695026974</v>
      </c>
      <c r="N44" s="56">
        <f>IF(N43&gt;0,VLOOKUP(CONCATENATE($C$2,$B43),'Base Calculation'!$A$5:$O$89,N$5+2,FALSE)/N43*100,"")</f>
      </c>
      <c r="O44" s="56">
        <f>IF(O43&gt;0,VLOOKUP(CONCATENATE($C$2,$B43),'Base Calculation'!$A$5:$O$89,O$5+2,FALSE)/O43*100,"")</f>
      </c>
      <c r="P44" s="56">
        <f>IF(P43&gt;0,VLOOKUP(CONCATENATE($C$2,$B43),'Base Calculation'!$A$5:$O$89,P$5+2,FALSE)/P43*100,"")</f>
      </c>
      <c r="Q44" s="56">
        <f>IF(Q43&gt;0,VLOOKUP(CONCATENATE($C$2,$B43),'Base Calculation'!$A$5:$O$89,Q$5+2,FALSE)/Q43*100,"")</f>
      </c>
      <c r="R44" s="56">
        <f>IF(R43&gt;0,VLOOKUP(CONCATENATE($C$2,$B43),'Base Calculation'!$A$5:$O$89,R$5+2,FALSE)/R43*100,"")</f>
      </c>
      <c r="S44" s="56">
        <f>IF(S43&gt;0,VLOOKUP(CONCATENATE($C$2,$B43),'Base Calculation'!$A$5:$O$89,S$5+2,FALSE)/S43*100,"")</f>
      </c>
      <c r="T44" s="82">
        <f>IF(T43&gt;0,VLOOKUP(CONCATENATE($C$2,$B43),'Base Calculation'!$A$5:$O$89,U43+2,FALSE)/T43*100,"")</f>
      </c>
      <c r="U44" s="86">
        <f>IF(U43&gt;0,VLOOKUP(U43,BF$2:BG$14,2,FALSE),"")</f>
      </c>
      <c r="V44" s="87">
        <f>V43</f>
        <v>0</v>
      </c>
      <c r="W44" s="20"/>
      <c r="AP44">
        <f>17-COUNTIF(D44:T44,"")</f>
        <v>2</v>
      </c>
      <c r="AQ44" t="str">
        <f>CONCATENATE($C$2,BB44)</f>
        <v>Female13</v>
      </c>
      <c r="AS44" s="25">
        <f>SUM(D44:H44)</f>
        <v>68.58615524205301</v>
      </c>
      <c r="AT44" s="25">
        <f>SUM(I44:M44)</f>
        <v>65.7976695026974</v>
      </c>
      <c r="AU44" s="25">
        <f>SUM(N44:S44)</f>
        <v>0</v>
      </c>
      <c r="AV44" s="25">
        <f>IF($AS44&gt;0,LARGE(D44:H44,1),0)</f>
        <v>68.58615524205301</v>
      </c>
      <c r="AW44" s="25">
        <f>IF($AT44&gt;0,LARGE(I44:M44,1),0)</f>
        <v>65.7976695026974</v>
      </c>
      <c r="AX44" s="25">
        <f>IF($AU44&gt;0,LARGE(N44:S44,1),0)</f>
        <v>0</v>
      </c>
      <c r="AY44" s="25">
        <f>IF('League Summary'!$X$2=1,T44,"")</f>
      </c>
      <c r="AZ44" s="25">
        <f>SUM(AV44:AY44)</f>
        <v>134.38382474475043</v>
      </c>
      <c r="BA44" t="str">
        <f>IF(AND(AV44&gt;0,AW44&gt;0,AX44&gt;0,(AP44&gt;=4)),"Q","NQ")</f>
        <v>NQ</v>
      </c>
      <c r="BB44">
        <f>IF(AZ44&gt;0,RANK(AZ44,AZ$8:AZ$86,0),"")</f>
        <v>13</v>
      </c>
      <c r="BC44" t="str">
        <f>A43</f>
        <v>Elizabeth Stieler</v>
      </c>
      <c r="BD44">
        <f t="shared" si="5"/>
        <v>34</v>
      </c>
      <c r="BK44" s="41">
        <f t="shared" si="7"/>
      </c>
      <c r="BL44">
        <f t="shared" si="8"/>
      </c>
      <c r="BM44">
        <f t="shared" si="2"/>
      </c>
      <c r="BN44">
        <v>44</v>
      </c>
      <c r="BO44" s="108">
        <f t="shared" si="9"/>
        <v>65.7976695026974</v>
      </c>
    </row>
    <row r="45" spans="1:70" ht="13.5" thickBot="1">
      <c r="A45" s="192" t="s">
        <v>244</v>
      </c>
      <c r="B45" s="193">
        <v>30</v>
      </c>
      <c r="C45" s="194" t="s">
        <v>36</v>
      </c>
      <c r="D45" s="195">
        <v>0</v>
      </c>
      <c r="E45" s="195">
        <v>0</v>
      </c>
      <c r="F45" s="195">
        <v>0</v>
      </c>
      <c r="G45" s="195">
        <v>0</v>
      </c>
      <c r="H45" s="195">
        <v>0.01693287037037037</v>
      </c>
      <c r="I45" s="195">
        <v>0</v>
      </c>
      <c r="J45" s="195">
        <v>0</v>
      </c>
      <c r="K45" s="195">
        <v>0</v>
      </c>
      <c r="L45" s="195">
        <v>0</v>
      </c>
      <c r="M45" s="195">
        <v>0.03434027777777778</v>
      </c>
      <c r="N45" s="195">
        <v>0</v>
      </c>
      <c r="O45" s="195">
        <v>0</v>
      </c>
      <c r="P45" s="195">
        <v>0</v>
      </c>
      <c r="Q45" s="195">
        <v>0</v>
      </c>
      <c r="R45" s="195">
        <v>0</v>
      </c>
      <c r="S45" s="196">
        <v>0.0584375</v>
      </c>
      <c r="T45" s="196">
        <v>0</v>
      </c>
      <c r="U45" s="197"/>
      <c r="V45" s="198"/>
      <c r="W45" s="20"/>
      <c r="BC45" t="str">
        <f t="shared" si="4"/>
        <v>Emma Smith</v>
      </c>
      <c r="BD45">
        <f t="shared" si="5"/>
        <v>0</v>
      </c>
      <c r="BJ45" t="str">
        <f>IF(BO45&gt;0,"In","")</f>
        <v>In</v>
      </c>
      <c r="BK45" s="41">
        <f t="shared" si="7"/>
        <v>0.03434027777777778</v>
      </c>
      <c r="BL45">
        <f t="shared" si="8"/>
        <v>9</v>
      </c>
      <c r="BM45" t="str">
        <f t="shared" si="2"/>
        <v>In9</v>
      </c>
      <c r="BN45">
        <v>45</v>
      </c>
      <c r="BO45" s="41">
        <f t="shared" si="9"/>
        <v>0.03434027777777778</v>
      </c>
      <c r="BP45">
        <f t="shared" si="6"/>
        <v>61.611054937647445</v>
      </c>
      <c r="BQ45" t="str">
        <f>IF($BJ45="In",A45,"")</f>
        <v>Emma Smith</v>
      </c>
      <c r="BR45">
        <f>IF($BJ45="In",B45,"")</f>
        <v>30</v>
      </c>
    </row>
    <row r="46" spans="1:67" ht="13.5" thickBot="1">
      <c r="A46" s="58" t="str">
        <f>CONCATENATE(A45,C46)</f>
        <v>Emma SmithPoints</v>
      </c>
      <c r="B46" s="55"/>
      <c r="C46" s="54" t="s">
        <v>37</v>
      </c>
      <c r="D46" s="56">
        <f>IF(D45&gt;0,VLOOKUP(CONCATENATE($C$2,$B45),'Base Calculation'!$A$5:$O$89,D$5+2,FALSE)/D45*100,"")</f>
      </c>
      <c r="E46" s="56">
        <f>IF(E45&gt;0,VLOOKUP(CONCATENATE($C$2,$B45),'Base Calculation'!$A$5:$O$89,E$5+2,FALSE)/E45*100,"")</f>
      </c>
      <c r="F46" s="56">
        <f>IF(F45&gt;0,VLOOKUP(CONCATENATE($C$2,$B45),'Base Calculation'!$A$5:$O$89,F$5+2,FALSE)/F45*100,"")</f>
      </c>
      <c r="G46" s="56">
        <f>IF(G45&gt;0,VLOOKUP(CONCATENATE($C$2,$B45),'Base Calculation'!$A$5:$O$89,G$5+2,FALSE)/G45*100,"")</f>
      </c>
      <c r="H46" s="56">
        <f>IF(H45&gt;0,VLOOKUP(CONCATENATE($C$2,$B45),'Base Calculation'!$A$5:$O$89,H$5+2,FALSE)/H45*100,"")</f>
        <v>60.56049213943952</v>
      </c>
      <c r="I46" s="56">
        <f>IF(I45&gt;0,VLOOKUP(CONCATENATE($C$2,$B45),'Base Calculation'!$A$5:$O$89,I$5+2,FALSE)/I45*100,"")</f>
      </c>
      <c r="J46" s="56">
        <f>IF(J45&gt;0,VLOOKUP(CONCATENATE($C$2,$B45),'Base Calculation'!$A$5:$O$89,J$5+2,FALSE)/J45*100,"")</f>
      </c>
      <c r="K46" s="56">
        <f>IF(K45&gt;0,VLOOKUP(CONCATENATE($C$2,$B45),'Base Calculation'!$A$5:$O$89,K$5+2,FALSE)/K45*100,"")</f>
      </c>
      <c r="L46" s="56">
        <f>IF(L45&gt;0,VLOOKUP(CONCATENATE($C$2,$B45),'Base Calculation'!$A$5:$O$89,L$5+2,FALSE)/L45*100,"")</f>
      </c>
      <c r="M46" s="56">
        <f>IF(M45&gt;0,VLOOKUP(CONCATENATE($C$2,$B45),'Base Calculation'!$A$5:$O$89,M$5+2,FALSE)/M45*100,"")</f>
        <v>61.611054937647445</v>
      </c>
      <c r="N46" s="56">
        <f>IF(N45&gt;0,VLOOKUP(CONCATENATE($C$2,$B45),'Base Calculation'!$A$5:$O$89,N$5+2,FALSE)/N45*100,"")</f>
      </c>
      <c r="O46" s="56">
        <f>IF(O45&gt;0,VLOOKUP(CONCATENATE($C$2,$B45),'Base Calculation'!$A$5:$O$89,O$5+2,FALSE)/O45*100,"")</f>
      </c>
      <c r="P46" s="56">
        <f>IF(P45&gt;0,VLOOKUP(CONCATENATE($C$2,$B45),'Base Calculation'!$A$5:$O$89,P$5+2,FALSE)/P45*100,"")</f>
      </c>
      <c r="Q46" s="56">
        <f>IF(Q45&gt;0,VLOOKUP(CONCATENATE($C$2,$B45),'Base Calculation'!$A$5:$O$89,Q$5+2,FALSE)/Q45*100,"")</f>
      </c>
      <c r="R46" s="56">
        <f>IF(R45&gt;0,VLOOKUP(CONCATENATE($C$2,$B45),'Base Calculation'!$A$5:$O$89,R$5+2,FALSE)/R45*100,"")</f>
      </c>
      <c r="S46" s="56">
        <f>IF(S45&gt;0,VLOOKUP(CONCATENATE($C$2,$B45),'Base Calculation'!$A$5:$O$89,S$5+2,FALSE)/S45*100,"")</f>
        <v>62.012279659338475</v>
      </c>
      <c r="T46" s="82">
        <f>IF(T45&gt;0,VLOOKUP(CONCATENATE($C$2,$B45),'Base Calculation'!$A$5:$O$89,U45+2,FALSE)/T45*100,"")</f>
      </c>
      <c r="U46" s="86">
        <f>IF(U45&gt;0,VLOOKUP(U45,BF$2:BG$14,2,FALSE),"")</f>
      </c>
      <c r="V46" s="87">
        <f>V45</f>
        <v>0</v>
      </c>
      <c r="W46" s="20"/>
      <c r="AP46">
        <f>17-COUNTIF(D46:T46,"")</f>
        <v>3</v>
      </c>
      <c r="AQ46" t="str">
        <f>CONCATENATE($C$2,BB46)</f>
        <v>Female11</v>
      </c>
      <c r="AS46" s="25">
        <f>SUM(D46:H46)</f>
        <v>60.56049213943952</v>
      </c>
      <c r="AT46" s="25">
        <f>SUM(I46:M46)</f>
        <v>61.611054937647445</v>
      </c>
      <c r="AU46" s="25">
        <f>SUM(N46:S46)</f>
        <v>62.012279659338475</v>
      </c>
      <c r="AV46" s="25">
        <f>IF($AS46&gt;0,LARGE(D46:H46,1),0)</f>
        <v>60.56049213943952</v>
      </c>
      <c r="AW46" s="25">
        <f>IF($AT46&gt;0,LARGE(I46:M46,1),0)</f>
        <v>61.611054937647445</v>
      </c>
      <c r="AX46" s="25">
        <f>IF($AU46&gt;0,LARGE(N46:S46,1),0)</f>
        <v>62.012279659338475</v>
      </c>
      <c r="AY46" s="25">
        <f>IF('League Summary'!$X$2=1,T46,"")</f>
      </c>
      <c r="AZ46" s="25">
        <f>SUM(AV46:AY46)</f>
        <v>184.18382673642543</v>
      </c>
      <c r="BA46" t="str">
        <f>IF(AND(AV46&gt;0,AW46&gt;0,AX46&gt;0,(AP46&gt;=4)),"Q","NQ")</f>
        <v>NQ</v>
      </c>
      <c r="BB46">
        <f>IF(AZ46&gt;0,RANK(AZ46,AZ$8:AZ$86,0),"")</f>
        <v>11</v>
      </c>
      <c r="BC46" t="str">
        <f>A45</f>
        <v>Emma Smith</v>
      </c>
      <c r="BD46">
        <f t="shared" si="5"/>
        <v>30</v>
      </c>
      <c r="BK46" s="41">
        <f t="shared" si="7"/>
      </c>
      <c r="BL46">
        <f t="shared" si="8"/>
      </c>
      <c r="BM46">
        <f t="shared" si="2"/>
      </c>
      <c r="BN46">
        <v>46</v>
      </c>
      <c r="BO46" s="108">
        <f t="shared" si="9"/>
        <v>61.611054937647445</v>
      </c>
    </row>
    <row r="47" spans="1:70" ht="13.5" thickBot="1">
      <c r="A47" s="192" t="s">
        <v>245</v>
      </c>
      <c r="B47" s="193">
        <v>30</v>
      </c>
      <c r="C47" s="194" t="s">
        <v>36</v>
      </c>
      <c r="D47" s="195">
        <v>0</v>
      </c>
      <c r="E47" s="195">
        <v>0</v>
      </c>
      <c r="F47" s="195">
        <v>0</v>
      </c>
      <c r="G47" s="195">
        <v>0</v>
      </c>
      <c r="H47" s="195">
        <v>0.017222222222222222</v>
      </c>
      <c r="I47" s="195">
        <v>0</v>
      </c>
      <c r="J47" s="195">
        <v>0</v>
      </c>
      <c r="K47" s="195">
        <v>0</v>
      </c>
      <c r="L47" s="195">
        <v>0</v>
      </c>
      <c r="M47" s="195">
        <v>0</v>
      </c>
      <c r="N47" s="195">
        <v>0</v>
      </c>
      <c r="O47" s="195">
        <v>0</v>
      </c>
      <c r="P47" s="195">
        <v>0</v>
      </c>
      <c r="Q47" s="195">
        <v>0</v>
      </c>
      <c r="R47" s="195">
        <v>0</v>
      </c>
      <c r="S47" s="196">
        <v>0</v>
      </c>
      <c r="T47" s="196">
        <v>0</v>
      </c>
      <c r="U47" s="197"/>
      <c r="V47" s="198"/>
      <c r="W47" s="20"/>
      <c r="BC47" t="str">
        <f t="shared" si="4"/>
        <v>Lynnette Peck</v>
      </c>
      <c r="BD47">
        <f t="shared" si="5"/>
        <v>0</v>
      </c>
      <c r="BJ47">
        <f>IF(BO47&gt;0,"In","")</f>
      </c>
      <c r="BK47" s="41">
        <f t="shared" si="7"/>
      </c>
      <c r="BL47">
        <f t="shared" si="8"/>
      </c>
      <c r="BM47">
        <f t="shared" si="2"/>
      </c>
      <c r="BN47">
        <v>47</v>
      </c>
      <c r="BO47" s="41">
        <f t="shared" si="9"/>
        <v>0</v>
      </c>
      <c r="BP47">
        <f t="shared" si="6"/>
      </c>
      <c r="BQ47">
        <f>IF($BJ47="In",A47,"")</f>
      </c>
      <c r="BR47">
        <f>IF($BJ47="In",B47,"")</f>
      </c>
    </row>
    <row r="48" spans="1:67" ht="13.5" thickBot="1">
      <c r="A48" s="58" t="str">
        <f>CONCATENATE(A47,C48)</f>
        <v>Lynnette PeckPoints</v>
      </c>
      <c r="B48" s="55"/>
      <c r="C48" s="54" t="s">
        <v>37</v>
      </c>
      <c r="D48" s="56">
        <f>IF(D47&gt;0,VLOOKUP(CONCATENATE($C$2,$B47),'Base Calculation'!$A$5:$O$89,D$5+2,FALSE)/D47*100,"")</f>
      </c>
      <c r="E48" s="56">
        <f>IF(E47&gt;0,VLOOKUP(CONCATENATE($C$2,$B47),'Base Calculation'!$A$5:$O$89,E$5+2,FALSE)/E47*100,"")</f>
      </c>
      <c r="F48" s="56">
        <f>IF(F47&gt;0,VLOOKUP(CONCATENATE($C$2,$B47),'Base Calculation'!$A$5:$O$89,F$5+2,FALSE)/F47*100,"")</f>
      </c>
      <c r="G48" s="56">
        <f>IF(G47&gt;0,VLOOKUP(CONCATENATE($C$2,$B47),'Base Calculation'!$A$5:$O$89,G$5+2,FALSE)/G47*100,"")</f>
      </c>
      <c r="H48" s="56">
        <f>IF(H47&gt;0,VLOOKUP(CONCATENATE($C$2,$B47),'Base Calculation'!$A$5:$O$89,H$5+2,FALSE)/H47*100,"")</f>
        <v>59.543010752688176</v>
      </c>
      <c r="I48" s="56">
        <f>IF(I47&gt;0,VLOOKUP(CONCATENATE($C$2,$B47),'Base Calculation'!$A$5:$O$89,I$5+2,FALSE)/I47*100,"")</f>
      </c>
      <c r="J48" s="56">
        <f>IF(J47&gt;0,VLOOKUP(CONCATENATE($C$2,$B47),'Base Calculation'!$A$5:$O$89,J$5+2,FALSE)/J47*100,"")</f>
      </c>
      <c r="K48" s="56">
        <f>IF(K47&gt;0,VLOOKUP(CONCATENATE($C$2,$B47),'Base Calculation'!$A$5:$O$89,K$5+2,FALSE)/K47*100,"")</f>
      </c>
      <c r="L48" s="56">
        <f>IF(L47&gt;0,VLOOKUP(CONCATENATE($C$2,$B47),'Base Calculation'!$A$5:$O$89,L$5+2,FALSE)/L47*100,"")</f>
      </c>
      <c r="M48" s="56">
        <f>IF(M47&gt;0,VLOOKUP(CONCATENATE($C$2,$B47),'Base Calculation'!$A$5:$O$89,M$5+2,FALSE)/M47*100,"")</f>
      </c>
      <c r="N48" s="56">
        <f>IF(N47&gt;0,VLOOKUP(CONCATENATE($C$2,$B47),'Base Calculation'!$A$5:$O$89,N$5+2,FALSE)/N47*100,"")</f>
      </c>
      <c r="O48" s="56">
        <f>IF(O47&gt;0,VLOOKUP(CONCATENATE($C$2,$B47),'Base Calculation'!$A$5:$O$89,O$5+2,FALSE)/O47*100,"")</f>
      </c>
      <c r="P48" s="56">
        <f>IF(P47&gt;0,VLOOKUP(CONCATENATE($C$2,$B47),'Base Calculation'!$A$5:$O$89,P$5+2,FALSE)/P47*100,"")</f>
      </c>
      <c r="Q48" s="56">
        <f>IF(Q47&gt;0,VLOOKUP(CONCATENATE($C$2,$B47),'Base Calculation'!$A$5:$O$89,Q$5+2,FALSE)/Q47*100,"")</f>
      </c>
      <c r="R48" s="56">
        <f>IF(R47&gt;0,VLOOKUP(CONCATENATE($C$2,$B47),'Base Calculation'!$A$5:$O$89,R$5+2,FALSE)/R47*100,"")</f>
      </c>
      <c r="S48" s="56">
        <f>IF(S47&gt;0,VLOOKUP(CONCATENATE($C$2,$B47),'Base Calculation'!$A$5:$O$89,S$5+2,FALSE)/S47*100,"")</f>
      </c>
      <c r="T48" s="82">
        <f>IF(T47&gt;0,VLOOKUP(CONCATENATE($C$2,$B47),'Base Calculation'!$A$5:$O$89,U47+2,FALSE)/T47*100,"")</f>
      </c>
      <c r="U48" s="86">
        <f>IF(U47&gt;0,VLOOKUP(U47,BF$2:BG$14,2,FALSE),"")</f>
      </c>
      <c r="V48" s="87">
        <f>V47</f>
        <v>0</v>
      </c>
      <c r="W48" s="20"/>
      <c r="AP48">
        <f>17-COUNTIF(D48:T48,"")</f>
        <v>1</v>
      </c>
      <c r="AQ48" t="str">
        <f>CONCATENATE($C$2,BB48)</f>
        <v>Female26</v>
      </c>
      <c r="AS48" s="25">
        <f>SUM(D48:H48)</f>
        <v>59.543010752688176</v>
      </c>
      <c r="AT48" s="25">
        <f>SUM(I48:M48)</f>
        <v>0</v>
      </c>
      <c r="AU48" s="25">
        <f>SUM(N48:S48)</f>
        <v>0</v>
      </c>
      <c r="AV48" s="25">
        <f>IF($AS48&gt;0,LARGE(D48:H48,1),0)</f>
        <v>59.543010752688176</v>
      </c>
      <c r="AW48" s="25">
        <f>IF($AT48&gt;0,LARGE(I48:M48,1),0)</f>
        <v>0</v>
      </c>
      <c r="AX48" s="25">
        <f>IF($AU48&gt;0,LARGE(N48:S48,1),0)</f>
        <v>0</v>
      </c>
      <c r="AY48" s="25">
        <f>IF('League Summary'!$X$2=1,T48,"")</f>
      </c>
      <c r="AZ48" s="25">
        <f>SUM(AV48:AY48)</f>
        <v>59.543010752688176</v>
      </c>
      <c r="BA48" t="str">
        <f>IF(AND(AV48&gt;0,AW48&gt;0,AX48&gt;0,(AP48&gt;=4)),"Q","NQ")</f>
        <v>NQ</v>
      </c>
      <c r="BB48">
        <f>IF(AZ48&gt;0,RANK(AZ48,AZ$8:AZ$86,0),"")</f>
        <v>26</v>
      </c>
      <c r="BC48" t="str">
        <f>A47</f>
        <v>Lynnette Peck</v>
      </c>
      <c r="BD48">
        <f t="shared" si="5"/>
        <v>30</v>
      </c>
      <c r="BK48" s="41">
        <f t="shared" si="7"/>
      </c>
      <c r="BL48">
        <f t="shared" si="8"/>
      </c>
      <c r="BM48">
        <f t="shared" si="2"/>
      </c>
      <c r="BN48">
        <v>48</v>
      </c>
      <c r="BO48" s="108">
        <f t="shared" si="9"/>
      </c>
    </row>
    <row r="49" spans="1:70" ht="13.5" thickBot="1">
      <c r="A49" s="192" t="s">
        <v>246</v>
      </c>
      <c r="B49" s="193">
        <v>39</v>
      </c>
      <c r="C49" s="194" t="s">
        <v>36</v>
      </c>
      <c r="D49" s="195">
        <v>0</v>
      </c>
      <c r="E49" s="195">
        <v>0</v>
      </c>
      <c r="F49" s="195">
        <v>0</v>
      </c>
      <c r="G49" s="195">
        <v>0</v>
      </c>
      <c r="H49" s="195">
        <v>0.017326388888888888</v>
      </c>
      <c r="I49" s="195">
        <v>0</v>
      </c>
      <c r="J49" s="195">
        <v>0</v>
      </c>
      <c r="K49" s="195">
        <v>0</v>
      </c>
      <c r="L49" s="195">
        <v>0</v>
      </c>
      <c r="M49" s="195">
        <v>0</v>
      </c>
      <c r="N49" s="195">
        <v>0</v>
      </c>
      <c r="O49" s="195">
        <v>0</v>
      </c>
      <c r="P49" s="195">
        <v>0</v>
      </c>
      <c r="Q49" s="195">
        <v>0</v>
      </c>
      <c r="R49" s="195">
        <v>0</v>
      </c>
      <c r="S49" s="196">
        <v>0</v>
      </c>
      <c r="T49" s="196">
        <v>0</v>
      </c>
      <c r="U49" s="197"/>
      <c r="V49" s="198"/>
      <c r="W49" s="20"/>
      <c r="BC49" t="str">
        <f t="shared" si="4"/>
        <v>Heather Pitcher</v>
      </c>
      <c r="BD49">
        <f t="shared" si="5"/>
        <v>0</v>
      </c>
      <c r="BJ49">
        <f>IF(BO49&gt;0,"In","")</f>
      </c>
      <c r="BK49" s="41">
        <f t="shared" si="7"/>
      </c>
      <c r="BL49">
        <f t="shared" si="8"/>
      </c>
      <c r="BM49">
        <f t="shared" si="2"/>
      </c>
      <c r="BN49">
        <v>49</v>
      </c>
      <c r="BO49" s="41">
        <f t="shared" si="9"/>
        <v>0</v>
      </c>
      <c r="BP49">
        <f t="shared" si="6"/>
      </c>
      <c r="BQ49">
        <f>IF($BJ49="In",A49,"")</f>
      </c>
      <c r="BR49">
        <f>IF($BJ49="In",B49,"")</f>
      </c>
    </row>
    <row r="50" spans="1:67" ht="13.5" thickBot="1">
      <c r="A50" s="58" t="str">
        <f>CONCATENATE(A49,C50)</f>
        <v>Heather PitcherPoints</v>
      </c>
      <c r="B50" s="55"/>
      <c r="C50" s="54" t="s">
        <v>37</v>
      </c>
      <c r="D50" s="56">
        <f>IF(D49&gt;0,VLOOKUP(CONCATENATE($C$2,$B49),'Base Calculation'!$A$5:$O$89,D$5+2,FALSE)/D49*100,"")</f>
      </c>
      <c r="E50" s="56">
        <f>IF(E49&gt;0,VLOOKUP(CONCATENATE($C$2,$B49),'Base Calculation'!$A$5:$O$89,E$5+2,FALSE)/E49*100,"")</f>
      </c>
      <c r="F50" s="56">
        <f>IF(F49&gt;0,VLOOKUP(CONCATENATE($C$2,$B49),'Base Calculation'!$A$5:$O$89,F$5+2,FALSE)/F49*100,"")</f>
      </c>
      <c r="G50" s="56">
        <f>IF(G49&gt;0,VLOOKUP(CONCATENATE($C$2,$B49),'Base Calculation'!$A$5:$O$89,G$5+2,FALSE)/G49*100,"")</f>
      </c>
      <c r="H50" s="56">
        <f>IF(H49&gt;0,VLOOKUP(CONCATENATE($C$2,$B49),'Base Calculation'!$A$5:$O$89,H$5+2,FALSE)/H49*100,"")</f>
        <v>62.70265572639788</v>
      </c>
      <c r="I50" s="56">
        <f>IF(I49&gt;0,VLOOKUP(CONCATENATE($C$2,$B49),'Base Calculation'!$A$5:$O$89,I$5+2,FALSE)/I49*100,"")</f>
      </c>
      <c r="J50" s="56">
        <f>IF(J49&gt;0,VLOOKUP(CONCATENATE($C$2,$B49),'Base Calculation'!$A$5:$O$89,J$5+2,FALSE)/J49*100,"")</f>
      </c>
      <c r="K50" s="56">
        <f>IF(K49&gt;0,VLOOKUP(CONCATENATE($C$2,$B49),'Base Calculation'!$A$5:$O$89,K$5+2,FALSE)/K49*100,"")</f>
      </c>
      <c r="L50" s="56">
        <f>IF(L49&gt;0,VLOOKUP(CONCATENATE($C$2,$B49),'Base Calculation'!$A$5:$O$89,L$5+2,FALSE)/L49*100,"")</f>
      </c>
      <c r="M50" s="56">
        <f>IF(M49&gt;0,VLOOKUP(CONCATENATE($C$2,$B49),'Base Calculation'!$A$5:$O$89,M$5+2,FALSE)/M49*100,"")</f>
      </c>
      <c r="N50" s="56">
        <f>IF(N49&gt;0,VLOOKUP(CONCATENATE($C$2,$B49),'Base Calculation'!$A$5:$O$89,N$5+2,FALSE)/N49*100,"")</f>
      </c>
      <c r="O50" s="56">
        <f>IF(O49&gt;0,VLOOKUP(CONCATENATE($C$2,$B49),'Base Calculation'!$A$5:$O$89,O$5+2,FALSE)/O49*100,"")</f>
      </c>
      <c r="P50" s="56">
        <f>IF(P49&gt;0,VLOOKUP(CONCATENATE($C$2,$B49),'Base Calculation'!$A$5:$O$89,P$5+2,FALSE)/P49*100,"")</f>
      </c>
      <c r="Q50" s="56">
        <f>IF(Q49&gt;0,VLOOKUP(CONCATENATE($C$2,$B49),'Base Calculation'!$A$5:$O$89,Q$5+2,FALSE)/Q49*100,"")</f>
      </c>
      <c r="R50" s="56">
        <f>IF(R49&gt;0,VLOOKUP(CONCATENATE($C$2,$B49),'Base Calculation'!$A$5:$O$89,R$5+2,FALSE)/R49*100,"")</f>
      </c>
      <c r="S50" s="56">
        <f>IF(S49&gt;0,VLOOKUP(CONCATENATE($C$2,$B49),'Base Calculation'!$A$5:$O$89,S$5+2,FALSE)/S49*100,"")</f>
      </c>
      <c r="T50" s="82">
        <f>IF(T49&gt;0,VLOOKUP(CONCATENATE($C$2,$B49),'Base Calculation'!$A$5:$O$89,U49+2,FALSE)/T49*100,"")</f>
      </c>
      <c r="U50" s="86">
        <f>IF(U49&gt;0,VLOOKUP(U49,BF$2:BG$14,2,FALSE),"")</f>
      </c>
      <c r="V50" s="87">
        <f>V49</f>
        <v>0</v>
      </c>
      <c r="W50" s="20"/>
      <c r="AP50">
        <f>17-COUNTIF(D50:T50,"")</f>
        <v>1</v>
      </c>
      <c r="AQ50" t="str">
        <f>CONCATENATE($C$2,BB50)</f>
        <v>Female23</v>
      </c>
      <c r="AS50" s="25">
        <f>SUM(D50:H50)</f>
        <v>62.70265572639788</v>
      </c>
      <c r="AT50" s="25">
        <f>SUM(I50:M50)</f>
        <v>0</v>
      </c>
      <c r="AU50" s="25">
        <f>SUM(N50:S50)</f>
        <v>0</v>
      </c>
      <c r="AV50" s="25">
        <f>IF($AS50&gt;0,LARGE(D50:H50,1),0)</f>
        <v>62.70265572639788</v>
      </c>
      <c r="AW50" s="25">
        <f>IF($AT50&gt;0,LARGE(I50:M50,1),0)</f>
        <v>0</v>
      </c>
      <c r="AX50" s="25">
        <f>IF($AU50&gt;0,LARGE(N50:S50,1),0)</f>
        <v>0</v>
      </c>
      <c r="AY50" s="25">
        <f>IF('League Summary'!$X$2=1,T50,"")</f>
      </c>
      <c r="AZ50" s="25">
        <f>SUM(AV50:AY50)</f>
        <v>62.70265572639788</v>
      </c>
      <c r="BA50" t="str">
        <f>IF(AND(AV50&gt;0,AW50&gt;0,AX50&gt;0,(AP50&gt;=4)),"Q","NQ")</f>
        <v>NQ</v>
      </c>
      <c r="BB50">
        <f>IF(AZ50&gt;0,RANK(AZ50,AZ$8:AZ$86,0),"")</f>
        <v>23</v>
      </c>
      <c r="BC50" t="str">
        <f>A49</f>
        <v>Heather Pitcher</v>
      </c>
      <c r="BD50">
        <f t="shared" si="5"/>
        <v>39</v>
      </c>
      <c r="BK50" s="41">
        <f t="shared" si="7"/>
      </c>
      <c r="BL50">
        <f t="shared" si="8"/>
      </c>
      <c r="BM50">
        <f t="shared" si="2"/>
      </c>
      <c r="BN50">
        <v>50</v>
      </c>
      <c r="BO50" s="108">
        <f t="shared" si="9"/>
      </c>
    </row>
    <row r="51" spans="1:70" ht="13.5" thickBot="1">
      <c r="A51" s="192" t="s">
        <v>247</v>
      </c>
      <c r="B51" s="193">
        <v>30</v>
      </c>
      <c r="C51" s="194" t="s">
        <v>36</v>
      </c>
      <c r="D51" s="195">
        <v>0</v>
      </c>
      <c r="E51" s="195">
        <v>0</v>
      </c>
      <c r="F51" s="195">
        <v>0</v>
      </c>
      <c r="G51" s="195">
        <v>0</v>
      </c>
      <c r="H51" s="195">
        <v>0.0175</v>
      </c>
      <c r="I51" s="195">
        <v>0</v>
      </c>
      <c r="J51" s="195">
        <v>0</v>
      </c>
      <c r="K51" s="195">
        <v>0</v>
      </c>
      <c r="L51" s="195">
        <v>0</v>
      </c>
      <c r="M51" s="195">
        <v>0</v>
      </c>
      <c r="N51" s="195">
        <v>0</v>
      </c>
      <c r="O51" s="195">
        <v>0</v>
      </c>
      <c r="P51" s="195">
        <v>0</v>
      </c>
      <c r="Q51" s="195">
        <v>0</v>
      </c>
      <c r="R51" s="195">
        <v>0</v>
      </c>
      <c r="S51" s="196">
        <v>0</v>
      </c>
      <c r="T51" s="196">
        <v>0</v>
      </c>
      <c r="U51" s="197"/>
      <c r="V51" s="198"/>
      <c r="W51" s="20"/>
      <c r="BC51" t="str">
        <f t="shared" si="4"/>
        <v>Shari James</v>
      </c>
      <c r="BD51">
        <f t="shared" si="5"/>
        <v>0</v>
      </c>
      <c r="BJ51">
        <f>IF(BO51&gt;0,"In","")</f>
      </c>
      <c r="BK51" s="41">
        <f t="shared" si="7"/>
      </c>
      <c r="BL51">
        <f t="shared" si="8"/>
      </c>
      <c r="BM51">
        <f t="shared" si="2"/>
      </c>
      <c r="BN51">
        <v>51</v>
      </c>
      <c r="BO51" s="41">
        <f t="shared" si="9"/>
        <v>0</v>
      </c>
      <c r="BP51">
        <f t="shared" si="6"/>
      </c>
      <c r="BQ51">
        <f>IF($BJ51="In",A51,"")</f>
      </c>
      <c r="BR51">
        <f>IF($BJ51="In",B51,"")</f>
      </c>
    </row>
    <row r="52" spans="1:67" ht="13.5" thickBot="1">
      <c r="A52" s="58" t="str">
        <f>CONCATENATE(A51,C52)</f>
        <v>Shari JamesPoints</v>
      </c>
      <c r="B52" s="55"/>
      <c r="C52" s="54" t="s">
        <v>37</v>
      </c>
      <c r="D52" s="56">
        <f>IF(D51&gt;0,VLOOKUP(CONCATENATE($C$2,$B51),'Base Calculation'!$A$5:$O$89,D$5+2,FALSE)/D51*100,"")</f>
      </c>
      <c r="E52" s="56">
        <f>IF(E51&gt;0,VLOOKUP(CONCATENATE($C$2,$B51),'Base Calculation'!$A$5:$O$89,E$5+2,FALSE)/E51*100,"")</f>
      </c>
      <c r="F52" s="56">
        <f>IF(F51&gt;0,VLOOKUP(CONCATENATE($C$2,$B51),'Base Calculation'!$A$5:$O$89,F$5+2,FALSE)/F51*100,"")</f>
      </c>
      <c r="G52" s="56">
        <f>IF(G51&gt;0,VLOOKUP(CONCATENATE($C$2,$B51),'Base Calculation'!$A$5:$O$89,G$5+2,FALSE)/G51*100,"")</f>
      </c>
      <c r="H52" s="56">
        <f>IF(H51&gt;0,VLOOKUP(CONCATENATE($C$2,$B51),'Base Calculation'!$A$5:$O$89,H$5+2,FALSE)/H51*100,"")</f>
        <v>58.597883597883595</v>
      </c>
      <c r="I52" s="56">
        <f>IF(I51&gt;0,VLOOKUP(CONCATENATE($C$2,$B51),'Base Calculation'!$A$5:$O$89,I$5+2,FALSE)/I51*100,"")</f>
      </c>
      <c r="J52" s="56">
        <f>IF(J51&gt;0,VLOOKUP(CONCATENATE($C$2,$B51),'Base Calculation'!$A$5:$O$89,J$5+2,FALSE)/J51*100,"")</f>
      </c>
      <c r="K52" s="56">
        <f>IF(K51&gt;0,VLOOKUP(CONCATENATE($C$2,$B51),'Base Calculation'!$A$5:$O$89,K$5+2,FALSE)/K51*100,"")</f>
      </c>
      <c r="L52" s="56">
        <f>IF(L51&gt;0,VLOOKUP(CONCATENATE($C$2,$B51),'Base Calculation'!$A$5:$O$89,L$5+2,FALSE)/L51*100,"")</f>
      </c>
      <c r="M52" s="56">
        <f>IF(M51&gt;0,VLOOKUP(CONCATENATE($C$2,$B51),'Base Calculation'!$A$5:$O$89,M$5+2,FALSE)/M51*100,"")</f>
      </c>
      <c r="N52" s="56">
        <f>IF(N51&gt;0,VLOOKUP(CONCATENATE($C$2,$B51),'Base Calculation'!$A$5:$O$89,N$5+2,FALSE)/N51*100,"")</f>
      </c>
      <c r="O52" s="56">
        <f>IF(O51&gt;0,VLOOKUP(CONCATENATE($C$2,$B51),'Base Calculation'!$A$5:$O$89,O$5+2,FALSE)/O51*100,"")</f>
      </c>
      <c r="P52" s="56">
        <f>IF(P51&gt;0,VLOOKUP(CONCATENATE($C$2,$B51),'Base Calculation'!$A$5:$O$89,P$5+2,FALSE)/P51*100,"")</f>
      </c>
      <c r="Q52" s="56">
        <f>IF(Q51&gt;0,VLOOKUP(CONCATENATE($C$2,$B51),'Base Calculation'!$A$5:$O$89,Q$5+2,FALSE)/Q51*100,"")</f>
      </c>
      <c r="R52" s="56">
        <f>IF(R51&gt;0,VLOOKUP(CONCATENATE($C$2,$B51),'Base Calculation'!$A$5:$O$89,R$5+2,FALSE)/R51*100,"")</f>
      </c>
      <c r="S52" s="56">
        <f>IF(S51&gt;0,VLOOKUP(CONCATENATE($C$2,$B51),'Base Calculation'!$A$5:$O$89,S$5+2,FALSE)/S51*100,"")</f>
      </c>
      <c r="T52" s="82">
        <f>IF(T51&gt;0,VLOOKUP(CONCATENATE($C$2,$B51),'Base Calculation'!$A$5:$O$89,U51+2,FALSE)/T51*100,"")</f>
      </c>
      <c r="U52" s="86">
        <f>IF(U51&gt;0,VLOOKUP(U51,BF$2:BG$14,2,FALSE),"")</f>
      </c>
      <c r="V52" s="87">
        <f>V51</f>
        <v>0</v>
      </c>
      <c r="W52" s="20"/>
      <c r="AP52">
        <f>17-COUNTIF(D52:T52,"")</f>
        <v>1</v>
      </c>
      <c r="AQ52" t="str">
        <f>CONCATENATE($C$2,BB52)</f>
        <v>Female27</v>
      </c>
      <c r="AS52" s="25">
        <f>SUM(D52:H52)</f>
        <v>58.597883597883595</v>
      </c>
      <c r="AT52" s="25">
        <f>SUM(I52:M52)</f>
        <v>0</v>
      </c>
      <c r="AU52" s="25">
        <f>SUM(N52:S52)</f>
        <v>0</v>
      </c>
      <c r="AV52" s="25">
        <f>IF($AS52&gt;0,LARGE(D52:H52,1),0)</f>
        <v>58.597883597883595</v>
      </c>
      <c r="AW52" s="25">
        <f>IF($AT52&gt;0,LARGE(I52:M52,1),0)</f>
        <v>0</v>
      </c>
      <c r="AX52" s="25">
        <f>IF($AU52&gt;0,LARGE(N52:S52,1),0)</f>
        <v>0</v>
      </c>
      <c r="AY52" s="25">
        <f>IF('League Summary'!$X$2=1,T52,"")</f>
      </c>
      <c r="AZ52" s="25">
        <f>SUM(AV52:AY52)</f>
        <v>58.597883597883595</v>
      </c>
      <c r="BA52" t="str">
        <f>IF(AND(AV52&gt;0,AW52&gt;0,AX52&gt;0,(AP52&gt;=4)),"Q","NQ")</f>
        <v>NQ</v>
      </c>
      <c r="BB52">
        <f>IF(AZ52&gt;0,RANK(AZ52,AZ$8:AZ$86,0),"")</f>
        <v>27</v>
      </c>
      <c r="BC52" t="str">
        <f>A51</f>
        <v>Shari James</v>
      </c>
      <c r="BD52">
        <f t="shared" si="5"/>
        <v>30</v>
      </c>
      <c r="BK52" s="41">
        <f t="shared" si="7"/>
      </c>
      <c r="BL52">
        <f t="shared" si="8"/>
      </c>
      <c r="BM52">
        <f t="shared" si="2"/>
      </c>
      <c r="BN52">
        <v>52</v>
      </c>
      <c r="BO52" s="108">
        <f t="shared" si="9"/>
      </c>
    </row>
    <row r="53" spans="1:70" ht="13.5" thickBot="1">
      <c r="A53" s="192" t="s">
        <v>248</v>
      </c>
      <c r="B53" s="193">
        <v>30</v>
      </c>
      <c r="C53" s="194" t="s">
        <v>36</v>
      </c>
      <c r="D53" s="195">
        <v>0</v>
      </c>
      <c r="E53" s="195">
        <v>0</v>
      </c>
      <c r="F53" s="195">
        <v>0</v>
      </c>
      <c r="G53" s="195">
        <v>0</v>
      </c>
      <c r="H53" s="195">
        <v>0.01934027777777778</v>
      </c>
      <c r="I53" s="195">
        <v>0</v>
      </c>
      <c r="J53" s="195">
        <v>0</v>
      </c>
      <c r="K53" s="195">
        <v>0</v>
      </c>
      <c r="L53" s="195">
        <v>0</v>
      </c>
      <c r="M53" s="195">
        <v>0.038252314814814815</v>
      </c>
      <c r="N53" s="195">
        <v>0</v>
      </c>
      <c r="O53" s="195">
        <v>0</v>
      </c>
      <c r="P53" s="195">
        <v>0</v>
      </c>
      <c r="Q53" s="195">
        <v>0</v>
      </c>
      <c r="R53" s="195">
        <v>0</v>
      </c>
      <c r="S53" s="196">
        <v>0</v>
      </c>
      <c r="T53" s="196">
        <v>0</v>
      </c>
      <c r="U53" s="197"/>
      <c r="V53" s="198"/>
      <c r="W53" s="20"/>
      <c r="BC53" t="str">
        <f t="shared" si="4"/>
        <v>Rhian Breese</v>
      </c>
      <c r="BD53">
        <f t="shared" si="5"/>
        <v>0</v>
      </c>
      <c r="BJ53" t="str">
        <f>IF(BO53&gt;0,"In","")</f>
        <v>In</v>
      </c>
      <c r="BK53" s="41">
        <f t="shared" si="7"/>
        <v>0.038252314814814815</v>
      </c>
      <c r="BL53">
        <f t="shared" si="8"/>
        <v>14</v>
      </c>
      <c r="BM53" t="str">
        <f t="shared" si="2"/>
        <v>In14</v>
      </c>
      <c r="BN53">
        <v>53</v>
      </c>
      <c r="BO53" s="41">
        <f t="shared" si="9"/>
        <v>0.038252314814814815</v>
      </c>
      <c r="BP53">
        <f t="shared" si="6"/>
        <v>55.31013615733736</v>
      </c>
      <c r="BQ53" t="str">
        <f>IF($BJ53="In",A53,"")</f>
        <v>Rhian Breese</v>
      </c>
      <c r="BR53">
        <f>IF($BJ53="In",B53,"")</f>
        <v>30</v>
      </c>
    </row>
    <row r="54" spans="1:67" ht="13.5" thickBot="1">
      <c r="A54" s="58" t="str">
        <f>CONCATENATE(A53,C54)</f>
        <v>Rhian BreesePoints</v>
      </c>
      <c r="B54" s="55"/>
      <c r="C54" s="54" t="s">
        <v>37</v>
      </c>
      <c r="D54" s="56">
        <f>IF(D53&gt;0,VLOOKUP(CONCATENATE($C$2,$B53),'Base Calculation'!$A$5:$O$89,D$5+2,FALSE)/D53*100,"")</f>
      </c>
      <c r="E54" s="56">
        <f>IF(E53&gt;0,VLOOKUP(CONCATENATE($C$2,$B53),'Base Calculation'!$A$5:$O$89,E$5+2,FALSE)/E53*100,"")</f>
      </c>
      <c r="F54" s="56">
        <f>IF(F53&gt;0,VLOOKUP(CONCATENATE($C$2,$B53),'Base Calculation'!$A$5:$O$89,F$5+2,FALSE)/F53*100,"")</f>
      </c>
      <c r="G54" s="56">
        <f>IF(G53&gt;0,VLOOKUP(CONCATENATE($C$2,$B53),'Base Calculation'!$A$5:$O$89,G$5+2,FALSE)/G53*100,"")</f>
      </c>
      <c r="H54" s="56">
        <f>IF(H53&gt;0,VLOOKUP(CONCATENATE($C$2,$B53),'Base Calculation'!$A$5:$O$89,H$5+2,FALSE)/H53*100,"")</f>
        <v>53.022142429682816</v>
      </c>
      <c r="I54" s="56">
        <f>IF(I53&gt;0,VLOOKUP(CONCATENATE($C$2,$B53),'Base Calculation'!$A$5:$O$89,I$5+2,FALSE)/I53*100,"")</f>
      </c>
      <c r="J54" s="56">
        <f>IF(J53&gt;0,VLOOKUP(CONCATENATE($C$2,$B53),'Base Calculation'!$A$5:$O$89,J$5+2,FALSE)/J53*100,"")</f>
      </c>
      <c r="K54" s="56">
        <f>IF(K53&gt;0,VLOOKUP(CONCATENATE($C$2,$B53),'Base Calculation'!$A$5:$O$89,K$5+2,FALSE)/K53*100,"")</f>
      </c>
      <c r="L54" s="56">
        <f>IF(L53&gt;0,VLOOKUP(CONCATENATE($C$2,$B53),'Base Calculation'!$A$5:$O$89,L$5+2,FALSE)/L53*100,"")</f>
      </c>
      <c r="M54" s="56">
        <f>IF(M53&gt;0,VLOOKUP(CONCATENATE($C$2,$B53),'Base Calculation'!$A$5:$O$89,M$5+2,FALSE)/M53*100,"")</f>
        <v>55.31013615733736</v>
      </c>
      <c r="N54" s="56">
        <f>IF(N53&gt;0,VLOOKUP(CONCATENATE($C$2,$B53),'Base Calculation'!$A$5:$O$89,N$5+2,FALSE)/N53*100,"")</f>
      </c>
      <c r="O54" s="56">
        <f>IF(O53&gt;0,VLOOKUP(CONCATENATE($C$2,$B53),'Base Calculation'!$A$5:$O$89,O$5+2,FALSE)/O53*100,"")</f>
      </c>
      <c r="P54" s="56">
        <f>IF(P53&gt;0,VLOOKUP(CONCATENATE($C$2,$B53),'Base Calculation'!$A$5:$O$89,P$5+2,FALSE)/P53*100,"")</f>
      </c>
      <c r="Q54" s="56">
        <f>IF(Q53&gt;0,VLOOKUP(CONCATENATE($C$2,$B53),'Base Calculation'!$A$5:$O$89,Q$5+2,FALSE)/Q53*100,"")</f>
      </c>
      <c r="R54" s="56">
        <f>IF(R53&gt;0,VLOOKUP(CONCATENATE($C$2,$B53),'Base Calculation'!$A$5:$O$89,R$5+2,FALSE)/R53*100,"")</f>
      </c>
      <c r="S54" s="56">
        <f>IF(S53&gt;0,VLOOKUP(CONCATENATE($C$2,$B53),'Base Calculation'!$A$5:$O$89,S$5+2,FALSE)/S53*100,"")</f>
      </c>
      <c r="T54" s="82">
        <f>IF(T53&gt;0,VLOOKUP(CONCATENATE($C$2,$B53),'Base Calculation'!$A$5:$O$89,U53+2,FALSE)/T53*100,"")</f>
      </c>
      <c r="U54" s="86">
        <f>IF(U53&gt;0,VLOOKUP(U53,BF$2:BG$14,2,FALSE),"")</f>
      </c>
      <c r="V54" s="87">
        <f>V53</f>
        <v>0</v>
      </c>
      <c r="W54" s="20"/>
      <c r="AP54">
        <f>17-COUNTIF(D54:T54,"")</f>
        <v>2</v>
      </c>
      <c r="AQ54" t="str">
        <f>CONCATENATE($C$2,BB54)</f>
        <v>Female18</v>
      </c>
      <c r="AS54" s="25">
        <f>SUM(D54:H54)</f>
        <v>53.022142429682816</v>
      </c>
      <c r="AT54" s="25">
        <f>SUM(I54:M54)</f>
        <v>55.31013615733736</v>
      </c>
      <c r="AU54" s="25">
        <f>SUM(N54:S54)</f>
        <v>0</v>
      </c>
      <c r="AV54" s="25">
        <f>IF($AS54&gt;0,LARGE(D54:H54,1),0)</f>
        <v>53.022142429682816</v>
      </c>
      <c r="AW54" s="25">
        <f>IF($AT54&gt;0,LARGE(I54:M54,1),0)</f>
        <v>55.31013615733736</v>
      </c>
      <c r="AX54" s="25">
        <f>IF($AU54&gt;0,LARGE(N54:S54,1),0)</f>
        <v>0</v>
      </c>
      <c r="AY54" s="25">
        <f>IF('League Summary'!$X$2=1,T54,"")</f>
      </c>
      <c r="AZ54" s="25">
        <f>SUM(AV54:AY54)</f>
        <v>108.33227858702017</v>
      </c>
      <c r="BA54" t="str">
        <f>IF(AND(AV54&gt;0,AW54&gt;0,AX54&gt;0,(AP54&gt;=4)),"Q","NQ")</f>
        <v>NQ</v>
      </c>
      <c r="BB54">
        <f>IF(AZ54&gt;0,RANK(AZ54,AZ$8:AZ$86,0),"")</f>
        <v>18</v>
      </c>
      <c r="BC54" t="str">
        <f>A53</f>
        <v>Rhian Breese</v>
      </c>
      <c r="BD54">
        <f t="shared" si="5"/>
        <v>30</v>
      </c>
      <c r="BK54" s="41">
        <f t="shared" si="7"/>
      </c>
      <c r="BL54">
        <f t="shared" si="8"/>
      </c>
      <c r="BM54">
        <f t="shared" si="2"/>
      </c>
      <c r="BN54">
        <v>54</v>
      </c>
      <c r="BO54" s="108">
        <f t="shared" si="9"/>
        <v>55.31013615733736</v>
      </c>
    </row>
    <row r="55" spans="1:70" ht="13.5" thickBot="1">
      <c r="A55" s="192" t="s">
        <v>249</v>
      </c>
      <c r="B55" s="193">
        <v>40</v>
      </c>
      <c r="C55" s="194" t="s">
        <v>36</v>
      </c>
      <c r="D55" s="195">
        <v>0</v>
      </c>
      <c r="E55" s="195">
        <v>0</v>
      </c>
      <c r="F55" s="195">
        <v>0</v>
      </c>
      <c r="G55" s="195">
        <v>0</v>
      </c>
      <c r="H55" s="195">
        <v>0.020555555555555556</v>
      </c>
      <c r="I55" s="195">
        <v>0</v>
      </c>
      <c r="J55" s="195">
        <v>0</v>
      </c>
      <c r="K55" s="195">
        <v>0</v>
      </c>
      <c r="L55" s="195">
        <v>0</v>
      </c>
      <c r="M55" s="195">
        <v>0</v>
      </c>
      <c r="N55" s="195">
        <v>0</v>
      </c>
      <c r="O55" s="195">
        <v>0</v>
      </c>
      <c r="P55" s="195">
        <v>0</v>
      </c>
      <c r="Q55" s="195">
        <v>0</v>
      </c>
      <c r="R55" s="195">
        <v>0</v>
      </c>
      <c r="S55" s="196">
        <v>0</v>
      </c>
      <c r="T55" s="196">
        <v>0</v>
      </c>
      <c r="U55" s="197"/>
      <c r="V55" s="198"/>
      <c r="W55" s="20"/>
      <c r="BC55" t="str">
        <f t="shared" si="4"/>
        <v>Hayley Revell</v>
      </c>
      <c r="BD55">
        <f t="shared" si="5"/>
        <v>0</v>
      </c>
      <c r="BJ55">
        <f>IF(BO55&gt;0,"In","")</f>
      </c>
      <c r="BK55" s="41">
        <f t="shared" si="7"/>
      </c>
      <c r="BL55">
        <f t="shared" si="8"/>
      </c>
      <c r="BM55">
        <f t="shared" si="2"/>
      </c>
      <c r="BN55">
        <v>55</v>
      </c>
      <c r="BO55" s="41">
        <f t="shared" si="9"/>
        <v>0</v>
      </c>
      <c r="BP55">
        <f t="shared" si="6"/>
      </c>
      <c r="BQ55">
        <f>IF($BJ55="In",A55,"")</f>
      </c>
      <c r="BR55">
        <f>IF($BJ55="In",B55,"")</f>
      </c>
    </row>
    <row r="56" spans="1:67" ht="13.5" thickBot="1">
      <c r="A56" s="58" t="str">
        <f>CONCATENATE(A55,C56)</f>
        <v>Hayley RevellPoints</v>
      </c>
      <c r="B56" s="55"/>
      <c r="C56" s="54" t="s">
        <v>37</v>
      </c>
      <c r="D56" s="56">
        <f>IF(D55&gt;0,VLOOKUP(CONCATENATE($C$2,$B55),'Base Calculation'!$A$5:$O$89,D$5+2,FALSE)/D55*100,"")</f>
      </c>
      <c r="E56" s="56">
        <f>IF(E55&gt;0,VLOOKUP(CONCATENATE($C$2,$B55),'Base Calculation'!$A$5:$O$89,E$5+2,FALSE)/E55*100,"")</f>
      </c>
      <c r="F56" s="56">
        <f>IF(F55&gt;0,VLOOKUP(CONCATENATE($C$2,$B55),'Base Calculation'!$A$5:$O$89,F$5+2,FALSE)/F55*100,"")</f>
      </c>
      <c r="G56" s="56">
        <f>IF(G55&gt;0,VLOOKUP(CONCATENATE($C$2,$B55),'Base Calculation'!$A$5:$O$89,G$5+2,FALSE)/G55*100,"")</f>
      </c>
      <c r="H56" s="56">
        <f>IF(H55&gt;0,VLOOKUP(CONCATENATE($C$2,$B55),'Base Calculation'!$A$5:$O$89,H$5+2,FALSE)/H55*100,"")</f>
        <v>53.22456778767458</v>
      </c>
      <c r="I56" s="56">
        <f>IF(I55&gt;0,VLOOKUP(CONCATENATE($C$2,$B55),'Base Calculation'!$A$5:$O$89,I$5+2,FALSE)/I55*100,"")</f>
      </c>
      <c r="J56" s="56">
        <f>IF(J55&gt;0,VLOOKUP(CONCATENATE($C$2,$B55),'Base Calculation'!$A$5:$O$89,J$5+2,FALSE)/J55*100,"")</f>
      </c>
      <c r="K56" s="56">
        <f>IF(K55&gt;0,VLOOKUP(CONCATENATE($C$2,$B55),'Base Calculation'!$A$5:$O$89,K$5+2,FALSE)/K55*100,"")</f>
      </c>
      <c r="L56" s="56">
        <f>IF(L55&gt;0,VLOOKUP(CONCATENATE($C$2,$B55),'Base Calculation'!$A$5:$O$89,L$5+2,FALSE)/L55*100,"")</f>
      </c>
      <c r="M56" s="56">
        <f>IF(M55&gt;0,VLOOKUP(CONCATENATE($C$2,$B55),'Base Calculation'!$A$5:$O$89,M$5+2,FALSE)/M55*100,"")</f>
      </c>
      <c r="N56" s="56">
        <f>IF(N55&gt;0,VLOOKUP(CONCATENATE($C$2,$B55),'Base Calculation'!$A$5:$O$89,N$5+2,FALSE)/N55*100,"")</f>
      </c>
      <c r="O56" s="56">
        <f>IF(O55&gt;0,VLOOKUP(CONCATENATE($C$2,$B55),'Base Calculation'!$A$5:$O$89,O$5+2,FALSE)/O55*100,"")</f>
      </c>
      <c r="P56" s="56">
        <f>IF(P55&gt;0,VLOOKUP(CONCATENATE($C$2,$B55),'Base Calculation'!$A$5:$O$89,P$5+2,FALSE)/P55*100,"")</f>
      </c>
      <c r="Q56" s="56">
        <f>IF(Q55&gt;0,VLOOKUP(CONCATENATE($C$2,$B55),'Base Calculation'!$A$5:$O$89,Q$5+2,FALSE)/Q55*100,"")</f>
      </c>
      <c r="R56" s="56">
        <f>IF(R55&gt;0,VLOOKUP(CONCATENATE($C$2,$B55),'Base Calculation'!$A$5:$O$89,R$5+2,FALSE)/R55*100,"")</f>
      </c>
      <c r="S56" s="56">
        <f>IF(S55&gt;0,VLOOKUP(CONCATENATE($C$2,$B55),'Base Calculation'!$A$5:$O$89,S$5+2,FALSE)/S55*100,"")</f>
      </c>
      <c r="T56" s="82">
        <f>IF(T55&gt;0,VLOOKUP(CONCATENATE($C$2,$B55),'Base Calculation'!$A$5:$O$89,U55+2,FALSE)/T55*100,"")</f>
      </c>
      <c r="U56" s="86">
        <f>IF(U55&gt;0,VLOOKUP(U55,BF$2:BG$14,2,FALSE),"")</f>
      </c>
      <c r="V56" s="87">
        <f>V55</f>
        <v>0</v>
      </c>
      <c r="W56" s="20"/>
      <c r="AP56">
        <f>17-COUNTIF(D56:T56,"")</f>
        <v>1</v>
      </c>
      <c r="AQ56" t="str">
        <f>CONCATENATE($C$2,BB56)</f>
        <v>Female28</v>
      </c>
      <c r="AS56" s="25">
        <f>SUM(D56:H56)</f>
        <v>53.22456778767458</v>
      </c>
      <c r="AT56" s="25">
        <f>SUM(I56:M56)</f>
        <v>0</v>
      </c>
      <c r="AU56" s="25">
        <f>SUM(N56:S56)</f>
        <v>0</v>
      </c>
      <c r="AV56" s="25">
        <f>IF($AS56&gt;0,LARGE(D56:H56,1),0)</f>
        <v>53.22456778767458</v>
      </c>
      <c r="AW56" s="25">
        <f>IF($AT56&gt;0,LARGE(I56:M56,1),0)</f>
        <v>0</v>
      </c>
      <c r="AX56" s="25">
        <f>IF($AU56&gt;0,LARGE(N56:S56,1),0)</f>
        <v>0</v>
      </c>
      <c r="AY56" s="25">
        <f>IF('League Summary'!$X$2=1,T56,"")</f>
      </c>
      <c r="AZ56" s="25">
        <f>SUM(AV56:AY56)</f>
        <v>53.22456778767458</v>
      </c>
      <c r="BA56" t="str">
        <f>IF(AND(AV56&gt;0,AW56&gt;0,AX56&gt;0,(AP56&gt;=4)),"Q","NQ")</f>
        <v>NQ</v>
      </c>
      <c r="BB56">
        <f>IF(AZ56&gt;0,RANK(AZ56,AZ$8:AZ$86,0),"")</f>
        <v>28</v>
      </c>
      <c r="BC56" t="str">
        <f>A55</f>
        <v>Hayley Revell</v>
      </c>
      <c r="BD56">
        <f t="shared" si="5"/>
        <v>40</v>
      </c>
      <c r="BK56" s="41">
        <f t="shared" si="7"/>
      </c>
      <c r="BL56">
        <f t="shared" si="8"/>
      </c>
      <c r="BM56">
        <f t="shared" si="2"/>
      </c>
      <c r="BN56">
        <v>56</v>
      </c>
      <c r="BO56" s="108">
        <f t="shared" si="9"/>
      </c>
    </row>
    <row r="57" spans="1:70" ht="13.5" thickBot="1">
      <c r="A57" s="192" t="s">
        <v>250</v>
      </c>
      <c r="B57" s="193">
        <v>48</v>
      </c>
      <c r="C57" s="194" t="s">
        <v>36</v>
      </c>
      <c r="D57" s="195">
        <v>0</v>
      </c>
      <c r="E57" s="195">
        <v>0</v>
      </c>
      <c r="F57" s="195">
        <v>0</v>
      </c>
      <c r="G57" s="195">
        <v>0</v>
      </c>
      <c r="H57" s="195">
        <v>0.020775462962962964</v>
      </c>
      <c r="I57" s="195">
        <v>0</v>
      </c>
      <c r="J57" s="195">
        <v>0</v>
      </c>
      <c r="K57" s="195">
        <v>0</v>
      </c>
      <c r="L57" s="195">
        <v>0</v>
      </c>
      <c r="M57" s="195">
        <v>0.0453587962962963</v>
      </c>
      <c r="N57" s="195">
        <v>0</v>
      </c>
      <c r="O57" s="195">
        <v>0</v>
      </c>
      <c r="P57" s="195">
        <v>0</v>
      </c>
      <c r="Q57" s="195">
        <v>0</v>
      </c>
      <c r="R57" s="195">
        <v>0</v>
      </c>
      <c r="S57" s="196">
        <v>0</v>
      </c>
      <c r="T57" s="196">
        <v>0</v>
      </c>
      <c r="U57" s="197"/>
      <c r="V57" s="198"/>
      <c r="W57" s="20"/>
      <c r="BC57" t="str">
        <f t="shared" si="4"/>
        <v>Beth Holland</v>
      </c>
      <c r="BD57">
        <f t="shared" si="5"/>
        <v>0</v>
      </c>
      <c r="BJ57" t="str">
        <f>IF(BO57&gt;0,"In","")</f>
        <v>In</v>
      </c>
      <c r="BK57" s="41">
        <f t="shared" si="7"/>
        <v>0.0453587962962963</v>
      </c>
      <c r="BL57">
        <f t="shared" si="8"/>
        <v>19</v>
      </c>
      <c r="BM57" t="str">
        <f t="shared" si="2"/>
        <v>In19</v>
      </c>
      <c r="BN57">
        <v>57</v>
      </c>
      <c r="BO57" s="41">
        <f t="shared" si="9"/>
        <v>0.0453587962962963</v>
      </c>
      <c r="BP57">
        <f t="shared" si="6"/>
        <v>52.819105629802955</v>
      </c>
      <c r="BQ57" t="str">
        <f>IF($BJ57="In",A57,"")</f>
        <v>Beth Holland</v>
      </c>
      <c r="BR57">
        <f>IF($BJ57="In",B57,"")</f>
        <v>48</v>
      </c>
    </row>
    <row r="58" spans="1:67" ht="13.5" thickBot="1">
      <c r="A58" s="58" t="str">
        <f>CONCATENATE(A57,C58)</f>
        <v>Beth HollandPoints</v>
      </c>
      <c r="B58" s="55"/>
      <c r="C58" s="54" t="s">
        <v>37</v>
      </c>
      <c r="D58" s="56">
        <f>IF(D57&gt;0,VLOOKUP(CONCATENATE($C$2,$B57),'Base Calculation'!$A$5:$O$89,D$5+2,FALSE)/D57*100,"")</f>
      </c>
      <c r="E58" s="56">
        <f>IF(E57&gt;0,VLOOKUP(CONCATENATE($C$2,$B57),'Base Calculation'!$A$5:$O$89,E$5+2,FALSE)/E57*100,"")</f>
      </c>
      <c r="F58" s="56">
        <f>IF(F57&gt;0,VLOOKUP(CONCATENATE($C$2,$B57),'Base Calculation'!$A$5:$O$89,F$5+2,FALSE)/F57*100,"")</f>
      </c>
      <c r="G58" s="56">
        <f>IF(G57&gt;0,VLOOKUP(CONCATENATE($C$2,$B57),'Base Calculation'!$A$5:$O$89,G$5+2,FALSE)/G57*100,"")</f>
      </c>
      <c r="H58" s="56">
        <f>IF(H57&gt;0,VLOOKUP(CONCATENATE($C$2,$B57),'Base Calculation'!$A$5:$O$89,H$5+2,FALSE)/H57*100,"")</f>
        <v>55.89325271919727</v>
      </c>
      <c r="I58" s="56">
        <f>IF(I57&gt;0,VLOOKUP(CONCATENATE($C$2,$B57),'Base Calculation'!$A$5:$O$89,I$5+2,FALSE)/I57*100,"")</f>
      </c>
      <c r="J58" s="56">
        <f>IF(J57&gt;0,VLOOKUP(CONCATENATE($C$2,$B57),'Base Calculation'!$A$5:$O$89,J$5+2,FALSE)/J57*100,"")</f>
      </c>
      <c r="K58" s="56">
        <f>IF(K57&gt;0,VLOOKUP(CONCATENATE($C$2,$B57),'Base Calculation'!$A$5:$O$89,K$5+2,FALSE)/K57*100,"")</f>
      </c>
      <c r="L58" s="56">
        <f>IF(L57&gt;0,VLOOKUP(CONCATENATE($C$2,$B57),'Base Calculation'!$A$5:$O$89,L$5+2,FALSE)/L57*100,"")</f>
      </c>
      <c r="M58" s="56">
        <f>IF(M57&gt;0,VLOOKUP(CONCATENATE($C$2,$B57),'Base Calculation'!$A$5:$O$89,M$5+2,FALSE)/M57*100,"")</f>
        <v>52.819105629802955</v>
      </c>
      <c r="N58" s="56">
        <f>IF(N57&gt;0,VLOOKUP(CONCATENATE($C$2,$B57),'Base Calculation'!$A$5:$O$89,N$5+2,FALSE)/N57*100,"")</f>
      </c>
      <c r="O58" s="56">
        <f>IF(O57&gt;0,VLOOKUP(CONCATENATE($C$2,$B57),'Base Calculation'!$A$5:$O$89,O$5+2,FALSE)/O57*100,"")</f>
      </c>
      <c r="P58" s="56">
        <f>IF(P57&gt;0,VLOOKUP(CONCATENATE($C$2,$B57),'Base Calculation'!$A$5:$O$89,P$5+2,FALSE)/P57*100,"")</f>
      </c>
      <c r="Q58" s="56">
        <f>IF(Q57&gt;0,VLOOKUP(CONCATENATE($C$2,$B57),'Base Calculation'!$A$5:$O$89,Q$5+2,FALSE)/Q57*100,"")</f>
      </c>
      <c r="R58" s="56">
        <f>IF(R57&gt;0,VLOOKUP(CONCATENATE($C$2,$B57),'Base Calculation'!$A$5:$O$89,R$5+2,FALSE)/R57*100,"")</f>
      </c>
      <c r="S58" s="56">
        <f>IF(S57&gt;0,VLOOKUP(CONCATENATE($C$2,$B57),'Base Calculation'!$A$5:$O$89,S$5+2,FALSE)/S57*100,"")</f>
      </c>
      <c r="T58" s="82">
        <f>IF(T57&gt;0,VLOOKUP(CONCATENATE($C$2,$B57),'Base Calculation'!$A$5:$O$89,U57+2,FALSE)/T57*100,"")</f>
      </c>
      <c r="U58" s="86">
        <f>IF(U57&gt;0,VLOOKUP(U57,BF$2:BG$14,2,FALSE),"")</f>
      </c>
      <c r="V58" s="87">
        <f>V57</f>
        <v>0</v>
      </c>
      <c r="W58" s="20"/>
      <c r="AP58">
        <f>17-COUNTIF(D58:T58,"")</f>
        <v>2</v>
      </c>
      <c r="AQ58" t="str">
        <f>CONCATENATE($C$2,BB58)</f>
        <v>Female17</v>
      </c>
      <c r="AS58" s="25">
        <f>SUM(D58:H58)</f>
        <v>55.89325271919727</v>
      </c>
      <c r="AT58" s="25">
        <f>SUM(I58:M58)</f>
        <v>52.819105629802955</v>
      </c>
      <c r="AU58" s="25">
        <f>SUM(N58:S58)</f>
        <v>0</v>
      </c>
      <c r="AV58" s="25">
        <f>IF($AS58&gt;0,LARGE(D58:H58,1),0)</f>
        <v>55.89325271919727</v>
      </c>
      <c r="AW58" s="25">
        <f>IF($AT58&gt;0,LARGE(I58:M58,1),0)</f>
        <v>52.819105629802955</v>
      </c>
      <c r="AX58" s="25">
        <f>IF($AU58&gt;0,LARGE(N58:S58,1),0)</f>
        <v>0</v>
      </c>
      <c r="AY58" s="25">
        <f>IF('League Summary'!$X$2=1,T58,"")</f>
      </c>
      <c r="AZ58" s="25">
        <f>SUM(AV58:AY58)</f>
        <v>108.71235834900023</v>
      </c>
      <c r="BA58" t="str">
        <f>IF(AND(AV58&gt;0,AW58&gt;0,AX58&gt;0,(AP58&gt;=4)),"Q","NQ")</f>
        <v>NQ</v>
      </c>
      <c r="BB58">
        <f>IF(AZ58&gt;0,RANK(AZ58,AZ$8:AZ$86,0),"")</f>
        <v>17</v>
      </c>
      <c r="BC58" t="str">
        <f>A57</f>
        <v>Beth Holland</v>
      </c>
      <c r="BD58">
        <f t="shared" si="5"/>
        <v>48</v>
      </c>
      <c r="BK58" s="41">
        <f t="shared" si="7"/>
      </c>
      <c r="BL58">
        <f t="shared" si="8"/>
      </c>
      <c r="BM58">
        <f t="shared" si="2"/>
      </c>
      <c r="BN58">
        <v>58</v>
      </c>
      <c r="BO58" s="108">
        <f t="shared" si="9"/>
        <v>52.819105629802955</v>
      </c>
    </row>
    <row r="59" spans="1:70" ht="13.5" thickBot="1">
      <c r="A59" s="192" t="s">
        <v>265</v>
      </c>
      <c r="B59" s="193">
        <v>40</v>
      </c>
      <c r="C59" s="194" t="s">
        <v>36</v>
      </c>
      <c r="D59" s="195">
        <v>0</v>
      </c>
      <c r="E59" s="195">
        <v>0</v>
      </c>
      <c r="F59" s="195">
        <v>0</v>
      </c>
      <c r="G59" s="195">
        <v>0</v>
      </c>
      <c r="H59" s="195">
        <v>0</v>
      </c>
      <c r="I59" s="195">
        <v>0</v>
      </c>
      <c r="J59" s="195">
        <v>0</v>
      </c>
      <c r="K59" s="195">
        <v>0</v>
      </c>
      <c r="L59" s="195">
        <v>0</v>
      </c>
      <c r="M59" s="195">
        <v>0.03351863425925926</v>
      </c>
      <c r="N59" s="195">
        <v>0</v>
      </c>
      <c r="O59" s="195">
        <v>0</v>
      </c>
      <c r="P59" s="195">
        <v>0</v>
      </c>
      <c r="Q59" s="195">
        <v>0</v>
      </c>
      <c r="R59" s="195">
        <v>0</v>
      </c>
      <c r="S59" s="196">
        <v>0</v>
      </c>
      <c r="T59" s="196">
        <v>0</v>
      </c>
      <c r="U59" s="197"/>
      <c r="V59" s="198"/>
      <c r="W59" s="20"/>
      <c r="BC59" t="str">
        <f t="shared" si="4"/>
        <v>Delor Harvey</v>
      </c>
      <c r="BD59">
        <f t="shared" si="5"/>
        <v>0</v>
      </c>
      <c r="BJ59" t="str">
        <f>IF(BO59&gt;0,"In","")</f>
        <v>In</v>
      </c>
      <c r="BK59" s="41">
        <f t="shared" si="7"/>
        <v>0.03351863425925926</v>
      </c>
      <c r="BL59">
        <f t="shared" si="8"/>
        <v>6</v>
      </c>
      <c r="BM59" t="str">
        <f t="shared" si="2"/>
        <v>In6</v>
      </c>
      <c r="BN59">
        <v>59</v>
      </c>
      <c r="BO59" s="41">
        <f t="shared" si="9"/>
        <v>0.03351863425925926</v>
      </c>
      <c r="BP59">
        <f t="shared" si="6"/>
        <v>67.34378427497681</v>
      </c>
      <c r="BQ59" t="str">
        <f>IF($BJ59="In",A59,"")</f>
        <v>Delor Harvey</v>
      </c>
      <c r="BR59">
        <f>IF($BJ59="In",B59,"")</f>
        <v>40</v>
      </c>
    </row>
    <row r="60" spans="1:67" ht="13.5" thickBot="1">
      <c r="A60" s="58" t="str">
        <f>CONCATENATE(A59,C60)</f>
        <v>Delor HarveyPoints</v>
      </c>
      <c r="B60" s="55"/>
      <c r="C60" s="54" t="s">
        <v>37</v>
      </c>
      <c r="D60" s="56">
        <f>IF(D59&gt;0,VLOOKUP(CONCATENATE($C$2,$B59),'Base Calculation'!$A$5:$O$89,D$5+2,FALSE)/D59*100,"")</f>
      </c>
      <c r="E60" s="56">
        <f>IF(E59&gt;0,VLOOKUP(CONCATENATE($C$2,$B59),'Base Calculation'!$A$5:$O$89,E$5+2,FALSE)/E59*100,"")</f>
      </c>
      <c r="F60" s="56">
        <f>IF(F59&gt;0,VLOOKUP(CONCATENATE($C$2,$B59),'Base Calculation'!$A$5:$O$89,F$5+2,FALSE)/F59*100,"")</f>
      </c>
      <c r="G60" s="56">
        <f>IF(G59&gt;0,VLOOKUP(CONCATENATE($C$2,$B59),'Base Calculation'!$A$5:$O$89,G$5+2,FALSE)/G59*100,"")</f>
      </c>
      <c r="H60" s="56">
        <f>IF(H59&gt;0,VLOOKUP(CONCATENATE($C$2,$B59),'Base Calculation'!$A$5:$O$89,H$5+2,FALSE)/H59*100,"")</f>
      </c>
      <c r="I60" s="56">
        <f>IF(I59&gt;0,VLOOKUP(CONCATENATE($C$2,$B59),'Base Calculation'!$A$5:$O$89,I$5+2,FALSE)/I59*100,"")</f>
      </c>
      <c r="J60" s="56">
        <f>IF(J59&gt;0,VLOOKUP(CONCATENATE($C$2,$B59),'Base Calculation'!$A$5:$O$89,J$5+2,FALSE)/J59*100,"")</f>
      </c>
      <c r="K60" s="56">
        <f>IF(K59&gt;0,VLOOKUP(CONCATENATE($C$2,$B59),'Base Calculation'!$A$5:$O$89,K$5+2,FALSE)/K59*100,"")</f>
      </c>
      <c r="L60" s="56">
        <f>IF(L59&gt;0,VLOOKUP(CONCATENATE($C$2,$B59),'Base Calculation'!$A$5:$O$89,L$5+2,FALSE)/L59*100,"")</f>
      </c>
      <c r="M60" s="56">
        <f>IF(M59&gt;0,VLOOKUP(CONCATENATE($C$2,$B59),'Base Calculation'!$A$5:$O$89,M$5+2,FALSE)/M59*100,"")</f>
        <v>67.34378427497681</v>
      </c>
      <c r="N60" s="56">
        <f>IF(N59&gt;0,VLOOKUP(CONCATENATE($C$2,$B59),'Base Calculation'!$A$5:$O$89,N$5+2,FALSE)/N59*100,"")</f>
      </c>
      <c r="O60" s="56">
        <f>IF(O59&gt;0,VLOOKUP(CONCATENATE($C$2,$B59),'Base Calculation'!$A$5:$O$89,O$5+2,FALSE)/O59*100,"")</f>
      </c>
      <c r="P60" s="56">
        <f>IF(P59&gt;0,VLOOKUP(CONCATENATE($C$2,$B59),'Base Calculation'!$A$5:$O$89,P$5+2,FALSE)/P59*100,"")</f>
      </c>
      <c r="Q60" s="56">
        <f>IF(Q59&gt;0,VLOOKUP(CONCATENATE($C$2,$B59),'Base Calculation'!$A$5:$O$89,Q$5+2,FALSE)/Q59*100,"")</f>
      </c>
      <c r="R60" s="56">
        <f>IF(R59&gt;0,VLOOKUP(CONCATENATE($C$2,$B59),'Base Calculation'!$A$5:$O$89,R$5+2,FALSE)/R59*100,"")</f>
      </c>
      <c r="S60" s="56">
        <f>IF(S59&gt;0,VLOOKUP(CONCATENATE($C$2,$B59),'Base Calculation'!$A$5:$O$89,S$5+2,FALSE)/S59*100,"")</f>
      </c>
      <c r="T60" s="82">
        <f>IF(T59&gt;0,VLOOKUP(CONCATENATE($C$2,$B59),'Base Calculation'!$A$5:$O$89,U59+2,FALSE)/T59*100,"")</f>
      </c>
      <c r="U60" s="86">
        <f>IF(U59&gt;0,VLOOKUP(U59,BF$2:BG$14,2,FALSE),"")</f>
      </c>
      <c r="V60" s="87">
        <f>V59</f>
        <v>0</v>
      </c>
      <c r="W60" s="20"/>
      <c r="AP60">
        <f>17-COUNTIF(D60:T60,"")</f>
        <v>1</v>
      </c>
      <c r="AQ60" t="str">
        <f>CONCATENATE($C$2,BB60)</f>
        <v>Female21</v>
      </c>
      <c r="AS60" s="25">
        <f>SUM(D60:H60)</f>
        <v>0</v>
      </c>
      <c r="AT60" s="25">
        <f>SUM(I60:M60)</f>
        <v>67.34378427497681</v>
      </c>
      <c r="AU60" s="25">
        <f>SUM(N60:S60)</f>
        <v>0</v>
      </c>
      <c r="AV60" s="25">
        <f>IF($AS60&gt;0,LARGE(D60:H60,1),0)</f>
        <v>0</v>
      </c>
      <c r="AW60" s="25">
        <f>IF($AT60&gt;0,LARGE(I60:M60,1),0)</f>
        <v>67.34378427497681</v>
      </c>
      <c r="AX60" s="25">
        <f>IF($AU60&gt;0,LARGE(N60:S60,1),0)</f>
        <v>0</v>
      </c>
      <c r="AY60" s="25">
        <f>IF('League Summary'!$X$2=1,T60,"")</f>
      </c>
      <c r="AZ60" s="25">
        <f>SUM(AV60:AY60)</f>
        <v>67.34378427497681</v>
      </c>
      <c r="BA60" t="str">
        <f>IF(AND(AV60&gt;0,AW60&gt;0,AX60&gt;0,(AP60&gt;=4)),"Q","NQ")</f>
        <v>NQ</v>
      </c>
      <c r="BB60">
        <f>IF(AZ60&gt;0,RANK(AZ60,AZ$8:AZ$86,0),"")</f>
        <v>21</v>
      </c>
      <c r="BC60" t="str">
        <f>A59</f>
        <v>Delor Harvey</v>
      </c>
      <c r="BD60">
        <f t="shared" si="5"/>
        <v>40</v>
      </c>
      <c r="BK60" s="41">
        <f t="shared" si="7"/>
      </c>
      <c r="BL60">
        <f t="shared" si="8"/>
      </c>
      <c r="BM60">
        <f t="shared" si="2"/>
      </c>
      <c r="BN60">
        <v>60</v>
      </c>
      <c r="BO60" s="108">
        <f t="shared" si="9"/>
        <v>67.34378427497681</v>
      </c>
    </row>
    <row r="61" spans="1:70" ht="13.5" thickBot="1">
      <c r="A61" s="192" t="s">
        <v>270</v>
      </c>
      <c r="B61" s="193">
        <v>53</v>
      </c>
      <c r="C61" s="194" t="s">
        <v>36</v>
      </c>
      <c r="D61" s="195">
        <v>0</v>
      </c>
      <c r="E61" s="195">
        <v>0</v>
      </c>
      <c r="F61" s="195">
        <v>0</v>
      </c>
      <c r="G61" s="195">
        <v>0</v>
      </c>
      <c r="H61" s="195">
        <v>0</v>
      </c>
      <c r="I61" s="195">
        <v>0</v>
      </c>
      <c r="J61" s="195">
        <v>0</v>
      </c>
      <c r="K61" s="195">
        <v>0</v>
      </c>
      <c r="L61" s="195">
        <v>0</v>
      </c>
      <c r="M61" s="195">
        <v>0.041527777777777775</v>
      </c>
      <c r="N61" s="195">
        <v>0</v>
      </c>
      <c r="O61" s="195">
        <v>0</v>
      </c>
      <c r="P61" s="195">
        <v>0</v>
      </c>
      <c r="Q61" s="195">
        <v>0</v>
      </c>
      <c r="R61" s="195">
        <v>0</v>
      </c>
      <c r="S61" s="196">
        <v>0</v>
      </c>
      <c r="T61" s="196">
        <v>0</v>
      </c>
      <c r="U61" s="197"/>
      <c r="V61" s="198"/>
      <c r="W61" s="20"/>
      <c r="BC61" t="str">
        <f t="shared" si="4"/>
        <v>Rosemary Reese</v>
      </c>
      <c r="BD61">
        <f t="shared" si="5"/>
        <v>0</v>
      </c>
      <c r="BJ61" t="str">
        <f>IF(BO61&gt;0,"In","")</f>
        <v>In</v>
      </c>
      <c r="BK61" s="41">
        <f t="shared" si="7"/>
        <v>0.041527777777777775</v>
      </c>
      <c r="BL61">
        <f t="shared" si="8"/>
        <v>17</v>
      </c>
      <c r="BM61" t="str">
        <f t="shared" si="2"/>
        <v>In17</v>
      </c>
      <c r="BN61">
        <v>61</v>
      </c>
      <c r="BO61" s="41">
        <f t="shared" si="9"/>
        <v>0.041527777777777775</v>
      </c>
      <c r="BP61">
        <f t="shared" si="6"/>
        <v>60.29302144558126</v>
      </c>
      <c r="BQ61" t="str">
        <f>IF($BJ61="In",A61,"")</f>
        <v>Rosemary Reese</v>
      </c>
      <c r="BR61">
        <f>IF($BJ61="In",B61,"")</f>
        <v>53</v>
      </c>
    </row>
    <row r="62" spans="1:67" ht="13.5" thickBot="1">
      <c r="A62" s="58" t="str">
        <f>CONCATENATE(A61,C62)</f>
        <v>Rosemary ReesePoints</v>
      </c>
      <c r="B62" s="55"/>
      <c r="C62" s="54" t="s">
        <v>37</v>
      </c>
      <c r="D62" s="56">
        <f>IF(D61&gt;0,VLOOKUP(CONCATENATE($C$2,$B61),'Base Calculation'!$A$5:$O$89,D$5+2,FALSE)/D61*100,"")</f>
      </c>
      <c r="E62" s="56">
        <f>IF(E61&gt;0,VLOOKUP(CONCATENATE($C$2,$B61),'Base Calculation'!$A$5:$O$89,E$5+2,FALSE)/E61*100,"")</f>
      </c>
      <c r="F62" s="56">
        <f>IF(F61&gt;0,VLOOKUP(CONCATENATE($C$2,$B61),'Base Calculation'!$A$5:$O$89,F$5+2,FALSE)/F61*100,"")</f>
      </c>
      <c r="G62" s="56">
        <f>IF(G61&gt;0,VLOOKUP(CONCATENATE($C$2,$B61),'Base Calculation'!$A$5:$O$89,G$5+2,FALSE)/G61*100,"")</f>
      </c>
      <c r="H62" s="56">
        <f>IF(H61&gt;0,VLOOKUP(CONCATENATE($C$2,$B61),'Base Calculation'!$A$5:$O$89,H$5+2,FALSE)/H61*100,"")</f>
      </c>
      <c r="I62" s="56">
        <f>IF(I61&gt;0,VLOOKUP(CONCATENATE($C$2,$B61),'Base Calculation'!$A$5:$O$89,I$5+2,FALSE)/I61*100,"")</f>
      </c>
      <c r="J62" s="56">
        <f>IF(J61&gt;0,VLOOKUP(CONCATENATE($C$2,$B61),'Base Calculation'!$A$5:$O$89,J$5+2,FALSE)/J61*100,"")</f>
      </c>
      <c r="K62" s="56">
        <f>IF(K61&gt;0,VLOOKUP(CONCATENATE($C$2,$B61),'Base Calculation'!$A$5:$O$89,K$5+2,FALSE)/K61*100,"")</f>
      </c>
      <c r="L62" s="56">
        <f>IF(L61&gt;0,VLOOKUP(CONCATENATE($C$2,$B61),'Base Calculation'!$A$5:$O$89,L$5+2,FALSE)/L61*100,"")</f>
      </c>
      <c r="M62" s="56">
        <f>IF(M61&gt;0,VLOOKUP(CONCATENATE($C$2,$B61),'Base Calculation'!$A$5:$O$89,M$5+2,FALSE)/M61*100,"")</f>
        <v>60.29302144558126</v>
      </c>
      <c r="N62" s="56">
        <f>IF(N61&gt;0,VLOOKUP(CONCATENATE($C$2,$B61),'Base Calculation'!$A$5:$O$89,N$5+2,FALSE)/N61*100,"")</f>
      </c>
      <c r="O62" s="56">
        <f>IF(O61&gt;0,VLOOKUP(CONCATENATE($C$2,$B61),'Base Calculation'!$A$5:$O$89,O$5+2,FALSE)/O61*100,"")</f>
      </c>
      <c r="P62" s="56">
        <f>IF(P61&gt;0,VLOOKUP(CONCATENATE($C$2,$B61),'Base Calculation'!$A$5:$O$89,P$5+2,FALSE)/P61*100,"")</f>
      </c>
      <c r="Q62" s="56">
        <f>IF(Q61&gt;0,VLOOKUP(CONCATENATE($C$2,$B61),'Base Calculation'!$A$5:$O$89,Q$5+2,FALSE)/Q61*100,"")</f>
      </c>
      <c r="R62" s="56">
        <f>IF(R61&gt;0,VLOOKUP(CONCATENATE($C$2,$B61),'Base Calculation'!$A$5:$O$89,R$5+2,FALSE)/R61*100,"")</f>
      </c>
      <c r="S62" s="56">
        <f>IF(S61&gt;0,VLOOKUP(CONCATENATE($C$2,$B61),'Base Calculation'!$A$5:$O$89,S$5+2,FALSE)/S61*100,"")</f>
      </c>
      <c r="T62" s="82">
        <f>IF(T61&gt;0,VLOOKUP(CONCATENATE($C$2,$B61),'Base Calculation'!$A$5:$O$89,U61+2,FALSE)/T61*100,"")</f>
      </c>
      <c r="U62" s="86">
        <f>IF(U61&gt;0,VLOOKUP(U61,BF$2:BG$14,2,FALSE),"")</f>
      </c>
      <c r="V62" s="87">
        <f>V61</f>
        <v>0</v>
      </c>
      <c r="W62" s="20"/>
      <c r="AP62">
        <f>17-COUNTIF(D62:T62,"")</f>
        <v>1</v>
      </c>
      <c r="AQ62" t="str">
        <f>CONCATENATE($C$2,BB62)</f>
        <v>Female25</v>
      </c>
      <c r="AS62" s="25">
        <f>SUM(D62:H62)</f>
        <v>0</v>
      </c>
      <c r="AT62" s="25">
        <f>SUM(I62:M62)</f>
        <v>60.29302144558126</v>
      </c>
      <c r="AU62" s="25">
        <f>SUM(N62:S62)</f>
        <v>0</v>
      </c>
      <c r="AV62" s="25">
        <f>IF($AS62&gt;0,LARGE(D62:H62,1),0)</f>
        <v>0</v>
      </c>
      <c r="AW62" s="25">
        <f>IF($AT62&gt;0,LARGE(I62:M62,1),0)</f>
        <v>60.29302144558126</v>
      </c>
      <c r="AX62" s="25">
        <f>IF($AU62&gt;0,LARGE(N62:S62,1),0)</f>
        <v>0</v>
      </c>
      <c r="AY62" s="25">
        <f>IF('League Summary'!$X$2=1,T62,"")</f>
      </c>
      <c r="AZ62" s="25">
        <f>SUM(AV62:AY62)</f>
        <v>60.29302144558126</v>
      </c>
      <c r="BA62" t="str">
        <f>IF(AND(AV62&gt;0,AW62&gt;0,AX62&gt;0,(AP62&gt;=4)),"Q","NQ")</f>
        <v>NQ</v>
      </c>
      <c r="BB62">
        <f>IF(AZ62&gt;0,RANK(AZ62,AZ$8:AZ$86,0),"")</f>
        <v>25</v>
      </c>
      <c r="BC62" t="str">
        <f>A61</f>
        <v>Rosemary Reese</v>
      </c>
      <c r="BD62">
        <f t="shared" si="5"/>
        <v>53</v>
      </c>
      <c r="BK62" s="41">
        <f t="shared" si="7"/>
      </c>
      <c r="BL62">
        <f t="shared" si="8"/>
      </c>
      <c r="BM62">
        <f t="shared" si="2"/>
      </c>
      <c r="BN62">
        <v>62</v>
      </c>
      <c r="BO62" s="108">
        <f t="shared" si="9"/>
        <v>60.29302144558126</v>
      </c>
    </row>
    <row r="63" spans="1:70" ht="13.5" thickBot="1">
      <c r="A63" s="192" t="s">
        <v>266</v>
      </c>
      <c r="B63" s="193">
        <v>55</v>
      </c>
      <c r="C63" s="194" t="s">
        <v>36</v>
      </c>
      <c r="D63" s="195">
        <v>0</v>
      </c>
      <c r="E63" s="195">
        <v>0</v>
      </c>
      <c r="F63" s="195">
        <v>0</v>
      </c>
      <c r="G63" s="195">
        <v>0</v>
      </c>
      <c r="H63" s="195">
        <v>0</v>
      </c>
      <c r="I63" s="195">
        <v>0</v>
      </c>
      <c r="J63" s="195">
        <v>0</v>
      </c>
      <c r="K63" s="195">
        <v>0</v>
      </c>
      <c r="L63" s="195">
        <v>0</v>
      </c>
      <c r="M63" s="195">
        <v>0.03988425925925926</v>
      </c>
      <c r="N63" s="195">
        <v>0</v>
      </c>
      <c r="O63" s="195">
        <v>0</v>
      </c>
      <c r="P63" s="195">
        <v>0</v>
      </c>
      <c r="Q63" s="195">
        <v>0</v>
      </c>
      <c r="R63" s="195">
        <v>0</v>
      </c>
      <c r="S63" s="196">
        <v>0</v>
      </c>
      <c r="T63" s="196">
        <v>0</v>
      </c>
      <c r="U63" s="197"/>
      <c r="V63" s="198"/>
      <c r="W63" s="20"/>
      <c r="BC63" t="str">
        <f t="shared" si="4"/>
        <v>Helen Stretch</v>
      </c>
      <c r="BD63">
        <f t="shared" si="5"/>
        <v>0</v>
      </c>
      <c r="BJ63" t="str">
        <f>IF(BO63&gt;0,"In","")</f>
        <v>In</v>
      </c>
      <c r="BK63" s="41">
        <f t="shared" si="7"/>
        <v>0.03988425925925926</v>
      </c>
      <c r="BL63">
        <f t="shared" si="8"/>
        <v>15</v>
      </c>
      <c r="BM63" t="str">
        <f t="shared" si="2"/>
        <v>In15</v>
      </c>
      <c r="BN63">
        <v>63</v>
      </c>
      <c r="BO63" s="41">
        <f t="shared" si="9"/>
        <v>0.03988425925925926</v>
      </c>
      <c r="BP63">
        <f t="shared" si="6"/>
        <v>64.02777432381171</v>
      </c>
      <c r="BQ63" t="str">
        <f>IF($BJ63="In",A63,"")</f>
        <v>Helen Stretch</v>
      </c>
      <c r="BR63">
        <f>IF($BJ63="In",B63,"")</f>
        <v>55</v>
      </c>
    </row>
    <row r="64" spans="1:67" ht="13.5" thickBot="1">
      <c r="A64" s="58" t="str">
        <f>CONCATENATE(A63,C64)</f>
        <v>Helen StretchPoints</v>
      </c>
      <c r="B64" s="55"/>
      <c r="C64" s="54" t="s">
        <v>37</v>
      </c>
      <c r="D64" s="56">
        <f>IF(D63&gt;0,VLOOKUP(CONCATENATE($C$2,$B63),'Base Calculation'!$A$5:$O$89,D$5+2,FALSE)/D63*100,"")</f>
      </c>
      <c r="E64" s="56">
        <f>IF(E63&gt;0,VLOOKUP(CONCATENATE($C$2,$B63),'Base Calculation'!$A$5:$O$89,E$5+2,FALSE)/E63*100,"")</f>
      </c>
      <c r="F64" s="56">
        <f>IF(F63&gt;0,VLOOKUP(CONCATENATE($C$2,$B63),'Base Calculation'!$A$5:$O$89,F$5+2,FALSE)/F63*100,"")</f>
      </c>
      <c r="G64" s="56">
        <f>IF(G63&gt;0,VLOOKUP(CONCATENATE($C$2,$B63),'Base Calculation'!$A$5:$O$89,G$5+2,FALSE)/G63*100,"")</f>
      </c>
      <c r="H64" s="56">
        <f>IF(H63&gt;0,VLOOKUP(CONCATENATE($C$2,$B63),'Base Calculation'!$A$5:$O$89,H$5+2,FALSE)/H63*100,"")</f>
      </c>
      <c r="I64" s="56">
        <f>IF(I63&gt;0,VLOOKUP(CONCATENATE($C$2,$B63),'Base Calculation'!$A$5:$O$89,I$5+2,FALSE)/I63*100,"")</f>
      </c>
      <c r="J64" s="56">
        <f>IF(J63&gt;0,VLOOKUP(CONCATENATE($C$2,$B63),'Base Calculation'!$A$5:$O$89,J$5+2,FALSE)/J63*100,"")</f>
      </c>
      <c r="K64" s="56">
        <f>IF(K63&gt;0,VLOOKUP(CONCATENATE($C$2,$B63),'Base Calculation'!$A$5:$O$89,K$5+2,FALSE)/K63*100,"")</f>
      </c>
      <c r="L64" s="56">
        <f>IF(L63&gt;0,VLOOKUP(CONCATENATE($C$2,$B63),'Base Calculation'!$A$5:$O$89,L$5+2,FALSE)/L63*100,"")</f>
      </c>
      <c r="M64" s="56">
        <f>IF(M63&gt;0,VLOOKUP(CONCATENATE($C$2,$B63),'Base Calculation'!$A$5:$O$89,M$5+2,FALSE)/M63*100,"")</f>
        <v>64.02777432381171</v>
      </c>
      <c r="N64" s="56">
        <f>IF(N63&gt;0,VLOOKUP(CONCATENATE($C$2,$B63),'Base Calculation'!$A$5:$O$89,N$5+2,FALSE)/N63*100,"")</f>
      </c>
      <c r="O64" s="56">
        <f>IF(O63&gt;0,VLOOKUP(CONCATENATE($C$2,$B63),'Base Calculation'!$A$5:$O$89,O$5+2,FALSE)/O63*100,"")</f>
      </c>
      <c r="P64" s="56">
        <f>IF(P63&gt;0,VLOOKUP(CONCATENATE($C$2,$B63),'Base Calculation'!$A$5:$O$89,P$5+2,FALSE)/P63*100,"")</f>
      </c>
      <c r="Q64" s="56">
        <f>IF(Q63&gt;0,VLOOKUP(CONCATENATE($C$2,$B63),'Base Calculation'!$A$5:$O$89,Q$5+2,FALSE)/Q63*100,"")</f>
      </c>
      <c r="R64" s="56">
        <f>IF(R63&gt;0,VLOOKUP(CONCATENATE($C$2,$B63),'Base Calculation'!$A$5:$O$89,R$5+2,FALSE)/R63*100,"")</f>
      </c>
      <c r="S64" s="56">
        <f>IF(S63&gt;0,VLOOKUP(CONCATENATE($C$2,$B63),'Base Calculation'!$A$5:$O$89,S$5+2,FALSE)/S63*100,"")</f>
      </c>
      <c r="T64" s="82">
        <f>IF(T63&gt;0,VLOOKUP(CONCATENATE($C$2,$B63),'Base Calculation'!$A$5:$O$89,U63+2,FALSE)/T63*100,"")</f>
      </c>
      <c r="U64" s="86">
        <f>IF(U63&gt;0,VLOOKUP(U63,BF$2:BG$14,2,FALSE),"")</f>
      </c>
      <c r="V64" s="87">
        <f>V63</f>
        <v>0</v>
      </c>
      <c r="W64" s="20"/>
      <c r="AP64">
        <f>17-COUNTIF(D64:T64,"")</f>
        <v>1</v>
      </c>
      <c r="AQ64" t="str">
        <f>CONCATENATE($C$2,BB64)</f>
        <v>Female22</v>
      </c>
      <c r="AS64" s="25">
        <f>SUM(D64:H64)</f>
        <v>0</v>
      </c>
      <c r="AT64" s="25">
        <f>SUM(I64:M64)</f>
        <v>64.02777432381171</v>
      </c>
      <c r="AU64" s="25">
        <f>SUM(N64:S64)</f>
        <v>0</v>
      </c>
      <c r="AV64" s="25">
        <f>IF($AS64&gt;0,LARGE(D64:H64,1),0)</f>
        <v>0</v>
      </c>
      <c r="AW64" s="25">
        <f>IF($AT64&gt;0,LARGE(I64:M64,1),0)</f>
        <v>64.02777432381171</v>
      </c>
      <c r="AX64" s="25">
        <f>IF($AU64&gt;0,LARGE(N64:S64,1),0)</f>
        <v>0</v>
      </c>
      <c r="AY64" s="25">
        <f>IF('League Summary'!$X$2=1,T64,"")</f>
      </c>
      <c r="AZ64" s="25">
        <f>SUM(AV64:AY64)</f>
        <v>64.02777432381171</v>
      </c>
      <c r="BA64" t="str">
        <f>IF(AND(AV64&gt;0,AW64&gt;0,AX64&gt;0,(AP64&gt;=4)),"Q","NQ")</f>
        <v>NQ</v>
      </c>
      <c r="BB64">
        <f>IF(AZ64&gt;0,RANK(AZ64,AZ$8:AZ$86,0),"")</f>
        <v>22</v>
      </c>
      <c r="BC64" t="str">
        <f>A63</f>
        <v>Helen Stretch</v>
      </c>
      <c r="BD64">
        <f t="shared" si="5"/>
        <v>55</v>
      </c>
      <c r="BK64" s="41">
        <f t="shared" si="7"/>
      </c>
      <c r="BL64">
        <f t="shared" si="8"/>
      </c>
      <c r="BM64">
        <f t="shared" si="2"/>
      </c>
      <c r="BN64">
        <v>64</v>
      </c>
      <c r="BO64" s="108">
        <f t="shared" si="9"/>
        <v>64.02777432381171</v>
      </c>
    </row>
    <row r="65" spans="1:70" ht="12.75">
      <c r="A65" s="192" t="s">
        <v>267</v>
      </c>
      <c r="B65" s="193">
        <v>45</v>
      </c>
      <c r="C65" s="194" t="s">
        <v>36</v>
      </c>
      <c r="D65" s="195">
        <v>0</v>
      </c>
      <c r="E65" s="195">
        <v>0</v>
      </c>
      <c r="F65" s="195">
        <v>0</v>
      </c>
      <c r="G65" s="195">
        <v>0</v>
      </c>
      <c r="H65" s="195">
        <v>0</v>
      </c>
      <c r="I65" s="195">
        <v>0</v>
      </c>
      <c r="J65" s="195">
        <v>0</v>
      </c>
      <c r="K65" s="195">
        <v>0</v>
      </c>
      <c r="L65" s="195">
        <v>0</v>
      </c>
      <c r="M65" s="195">
        <v>0.04577546296296297</v>
      </c>
      <c r="N65" s="195">
        <v>0</v>
      </c>
      <c r="O65" s="195">
        <v>0</v>
      </c>
      <c r="P65" s="195">
        <v>0</v>
      </c>
      <c r="Q65" s="195">
        <v>0</v>
      </c>
      <c r="R65" s="195">
        <v>0</v>
      </c>
      <c r="S65" s="196">
        <v>0</v>
      </c>
      <c r="T65" s="196">
        <v>0</v>
      </c>
      <c r="U65" s="197"/>
      <c r="V65" s="198"/>
      <c r="W65" s="20"/>
      <c r="BC65" t="str">
        <f t="shared" si="4"/>
        <v>Sue Ginley</v>
      </c>
      <c r="BD65">
        <f t="shared" si="5"/>
        <v>0</v>
      </c>
      <c r="BJ65" t="str">
        <f>IF(BO65&gt;0,"In","")</f>
        <v>In</v>
      </c>
      <c r="BK65" s="41">
        <f t="shared" si="7"/>
        <v>0.04577546296296297</v>
      </c>
      <c r="BL65">
        <f t="shared" si="8"/>
        <v>20</v>
      </c>
      <c r="BM65" t="str">
        <f t="shared" si="2"/>
        <v>In20</v>
      </c>
      <c r="BN65">
        <v>65</v>
      </c>
      <c r="BO65" s="41">
        <f t="shared" si="9"/>
        <v>0.04577546296296297</v>
      </c>
      <c r="BP65">
        <f t="shared" si="6"/>
        <v>51.14526360025443</v>
      </c>
      <c r="BQ65" t="str">
        <f>IF($BJ65="In",A65,"")</f>
        <v>Sue Ginley</v>
      </c>
      <c r="BR65">
        <f>IF($BJ65="In",B65,"")</f>
        <v>45</v>
      </c>
    </row>
    <row r="66" spans="1:67" ht="13.5" thickBot="1">
      <c r="A66" s="58" t="str">
        <f>CONCATENATE(A65,C66)</f>
        <v>Sue GinleyPoints</v>
      </c>
      <c r="B66" s="55"/>
      <c r="C66" s="54" t="s">
        <v>37</v>
      </c>
      <c r="D66" s="56">
        <f>IF(D65&gt;0,VLOOKUP(CONCATENATE($C$2,$B65),'Base Calculation'!$A$5:$O$89,D$5+2,FALSE)/D65*100,"")</f>
      </c>
      <c r="E66" s="56">
        <f>IF(E65&gt;0,VLOOKUP(CONCATENATE($C$2,$B65),'Base Calculation'!$A$5:$O$89,E$5+2,FALSE)/E65*100,"")</f>
      </c>
      <c r="F66" s="56">
        <f>IF(F65&gt;0,VLOOKUP(CONCATENATE($C$2,$B65),'Base Calculation'!$A$5:$O$89,F$5+2,FALSE)/F65*100,"")</f>
      </c>
      <c r="G66" s="56">
        <f>IF(G65&gt;0,VLOOKUP(CONCATENATE($C$2,$B65),'Base Calculation'!$A$5:$O$89,G$5+2,FALSE)/G65*100,"")</f>
      </c>
      <c r="H66" s="56">
        <f>IF(H65&gt;0,VLOOKUP(CONCATENATE($C$2,$B65),'Base Calculation'!$A$5:$O$89,H$5+2,FALSE)/H65*100,"")</f>
      </c>
      <c r="I66" s="56">
        <f>IF(I65&gt;0,VLOOKUP(CONCATENATE($C$2,$B65),'Base Calculation'!$A$5:$O$89,I$5+2,FALSE)/I65*100,"")</f>
      </c>
      <c r="J66" s="56">
        <f>IF(J65&gt;0,VLOOKUP(CONCATENATE($C$2,$B65),'Base Calculation'!$A$5:$O$89,J$5+2,FALSE)/J65*100,"")</f>
      </c>
      <c r="K66" s="56">
        <f>IF(K65&gt;0,VLOOKUP(CONCATENATE($C$2,$B65),'Base Calculation'!$A$5:$O$89,K$5+2,FALSE)/K65*100,"")</f>
      </c>
      <c r="L66" s="56">
        <f>IF(L65&gt;0,VLOOKUP(CONCATENATE($C$2,$B65),'Base Calculation'!$A$5:$O$89,L$5+2,FALSE)/L65*100,"")</f>
      </c>
      <c r="M66" s="56">
        <f>IF(M65&gt;0,VLOOKUP(CONCATENATE($C$2,$B65),'Base Calculation'!$A$5:$O$89,M$5+2,FALSE)/M65*100,"")</f>
        <v>51.14526360025443</v>
      </c>
      <c r="N66" s="56">
        <f>IF(N65&gt;0,VLOOKUP(CONCATENATE($C$2,$B65),'Base Calculation'!$A$5:$O$89,N$5+2,FALSE)/N65*100,"")</f>
      </c>
      <c r="O66" s="56">
        <f>IF(O65&gt;0,VLOOKUP(CONCATENATE($C$2,$B65),'Base Calculation'!$A$5:$O$89,O$5+2,FALSE)/O65*100,"")</f>
      </c>
      <c r="P66" s="56">
        <f>IF(P65&gt;0,VLOOKUP(CONCATENATE($C$2,$B65),'Base Calculation'!$A$5:$O$89,P$5+2,FALSE)/P65*100,"")</f>
      </c>
      <c r="Q66" s="56">
        <f>IF(Q65&gt;0,VLOOKUP(CONCATENATE($C$2,$B65),'Base Calculation'!$A$5:$O$89,Q$5+2,FALSE)/Q65*100,"")</f>
      </c>
      <c r="R66" s="56">
        <f>IF(R65&gt;0,VLOOKUP(CONCATENATE($C$2,$B65),'Base Calculation'!$A$5:$O$89,R$5+2,FALSE)/R65*100,"")</f>
      </c>
      <c r="S66" s="56">
        <f>IF(S65&gt;0,VLOOKUP(CONCATENATE($C$2,$B65),'Base Calculation'!$A$5:$O$89,S$5+2,FALSE)/S65*100,"")</f>
      </c>
      <c r="T66" s="82">
        <f>IF(T65&gt;0,VLOOKUP(CONCATENATE($C$2,$B65),'Base Calculation'!$A$5:$O$89,U65+2,FALSE)/T65*100,"")</f>
      </c>
      <c r="U66" s="86">
        <f>IF(U65&gt;0,VLOOKUP(U65,BF$2:BG$14,2,FALSE),"")</f>
      </c>
      <c r="V66" s="87">
        <f>V65</f>
        <v>0</v>
      </c>
      <c r="W66" s="20"/>
      <c r="AP66">
        <f>17-COUNTIF(D66:T66,"")</f>
        <v>1</v>
      </c>
      <c r="AQ66" t="str">
        <f>CONCATENATE($C$2,BB66)</f>
        <v>Female29</v>
      </c>
      <c r="AS66" s="25">
        <f>SUM(D66:H66)</f>
        <v>0</v>
      </c>
      <c r="AT66" s="25">
        <f>SUM(I66:M66)</f>
        <v>51.14526360025443</v>
      </c>
      <c r="AU66" s="25">
        <f>SUM(N66:S66)</f>
        <v>0</v>
      </c>
      <c r="AV66" s="25">
        <f>IF($AS66&gt;0,LARGE(D66:H66,1),0)</f>
        <v>0</v>
      </c>
      <c r="AW66" s="25">
        <f>IF($AT66&gt;0,LARGE(I66:M66,1),0)</f>
        <v>51.14526360025443</v>
      </c>
      <c r="AX66" s="25">
        <f>IF($AU66&gt;0,LARGE(N66:S66,1),0)</f>
        <v>0</v>
      </c>
      <c r="AY66" s="25">
        <f>IF('League Summary'!$X$2=1,T66,"")</f>
      </c>
      <c r="AZ66" s="25">
        <f>SUM(AV66:AY66)</f>
        <v>51.14526360025443</v>
      </c>
      <c r="BA66" t="str">
        <f>IF(AND(AV66&gt;0,AW66&gt;0,AX66&gt;0,(AP66&gt;=4)),"Q","NQ")</f>
        <v>NQ</v>
      </c>
      <c r="BB66">
        <f>IF(AZ66&gt;0,RANK(AZ66,AZ$8:AZ$86,0),"")</f>
        <v>29</v>
      </c>
      <c r="BC66" t="str">
        <f>A65</f>
        <v>Sue Ginley</v>
      </c>
      <c r="BD66">
        <f t="shared" si="5"/>
        <v>45</v>
      </c>
      <c r="BM66">
        <f t="shared" si="2"/>
      </c>
      <c r="BN66">
        <v>66</v>
      </c>
      <c r="BO66" s="108">
        <f t="shared" si="9"/>
        <v>51.14526360025443</v>
      </c>
    </row>
    <row r="67" spans="1:70" ht="13.5" thickBot="1">
      <c r="A67" s="192"/>
      <c r="B67" s="193"/>
      <c r="C67" s="194" t="s">
        <v>36</v>
      </c>
      <c r="D67" s="195">
        <v>0</v>
      </c>
      <c r="E67" s="195">
        <v>0</v>
      </c>
      <c r="F67" s="195">
        <v>0</v>
      </c>
      <c r="G67" s="195">
        <v>0</v>
      </c>
      <c r="H67" s="195">
        <v>0</v>
      </c>
      <c r="I67" s="195">
        <v>0</v>
      </c>
      <c r="J67" s="195">
        <v>0</v>
      </c>
      <c r="K67" s="195">
        <v>0</v>
      </c>
      <c r="L67" s="195">
        <v>0</v>
      </c>
      <c r="M67" s="195">
        <v>0</v>
      </c>
      <c r="N67" s="195">
        <v>0</v>
      </c>
      <c r="O67" s="195">
        <v>0</v>
      </c>
      <c r="P67" s="195">
        <v>0</v>
      </c>
      <c r="Q67" s="195">
        <v>0</v>
      </c>
      <c r="R67" s="195">
        <v>0</v>
      </c>
      <c r="S67" s="196">
        <v>0</v>
      </c>
      <c r="T67" s="196">
        <v>0</v>
      </c>
      <c r="U67" s="197"/>
      <c r="V67" s="198"/>
      <c r="W67" s="20"/>
      <c r="BC67">
        <f>A67</f>
        <v>0</v>
      </c>
      <c r="BD67">
        <f aca="true" t="shared" si="10" ref="BD67:BD86">B66</f>
        <v>0</v>
      </c>
      <c r="BJ67">
        <f>IF(BO67&gt;0,"In","")</f>
      </c>
      <c r="BK67" s="41">
        <f>IF(BJ67="In",BO67,"")</f>
      </c>
      <c r="BL67">
        <f>IF(BJ67="In",RANK(BK67,BK$7:BK$86,1),"")</f>
      </c>
      <c r="BM67">
        <f aca="true" t="shared" si="11" ref="BM67:BM86">CONCATENATE(BJ67,BL67)</f>
      </c>
      <c r="BN67">
        <f>BN66+1</f>
        <v>67</v>
      </c>
      <c r="BO67" s="41">
        <f t="shared" si="9"/>
        <v>0</v>
      </c>
      <c r="BP67">
        <f>BO68</f>
      </c>
      <c r="BQ67">
        <f>IF($BJ67="In",A67,"")</f>
      </c>
      <c r="BR67">
        <f>IF($BJ67="In",B67,"")</f>
      </c>
    </row>
    <row r="68" spans="1:67" ht="13.5" thickBot="1">
      <c r="A68" s="58" t="str">
        <f>CONCATENATE(A67,C68)</f>
        <v>Points</v>
      </c>
      <c r="B68" s="55"/>
      <c r="C68" s="54" t="s">
        <v>37</v>
      </c>
      <c r="D68" s="56">
        <f>IF(D67&gt;0,VLOOKUP(CONCATENATE($C$2,$B67),'Base Calculation'!$A$5:$O$89,D$5+2,FALSE)/D67*100,"")</f>
      </c>
      <c r="E68" s="56">
        <f>IF(E67&gt;0,VLOOKUP(CONCATENATE($C$2,$B67),'Base Calculation'!$A$5:$O$89,E$5+2,FALSE)/E67*100,"")</f>
      </c>
      <c r="F68" s="56">
        <f>IF(F67&gt;0,VLOOKUP(CONCATENATE($C$2,$B67),'Base Calculation'!$A$5:$O$89,F$5+2,FALSE)/F67*100,"")</f>
      </c>
      <c r="G68" s="56">
        <f>IF(G67&gt;0,VLOOKUP(CONCATENATE($C$2,$B67),'Base Calculation'!$A$5:$O$89,G$5+2,FALSE)/G67*100,"")</f>
      </c>
      <c r="H68" s="56">
        <f>IF(H67&gt;0,VLOOKUP(CONCATENATE($C$2,$B67),'Base Calculation'!$A$5:$O$89,H$5+2,FALSE)/H67*100,"")</f>
      </c>
      <c r="I68" s="56">
        <f>IF(I67&gt;0,VLOOKUP(CONCATENATE($C$2,$B67),'Base Calculation'!$A$5:$O$89,I$5+2,FALSE)/I67*100,"")</f>
      </c>
      <c r="J68" s="56">
        <f>IF(J67&gt;0,VLOOKUP(CONCATENATE($C$2,$B67),'Base Calculation'!$A$5:$O$89,J$5+2,FALSE)/J67*100,"")</f>
      </c>
      <c r="K68" s="56">
        <f>IF(K67&gt;0,VLOOKUP(CONCATENATE($C$2,$B67),'Base Calculation'!$A$5:$O$89,K$5+2,FALSE)/K67*100,"")</f>
      </c>
      <c r="L68" s="56">
        <f>IF(L67&gt;0,VLOOKUP(CONCATENATE($C$2,$B67),'Base Calculation'!$A$5:$O$89,L$5+2,FALSE)/L67*100,"")</f>
      </c>
      <c r="M68" s="56">
        <f>IF(M67&gt;0,VLOOKUP(CONCATENATE($C$2,$B67),'Base Calculation'!$A$5:$O$89,M$5+2,FALSE)/M67*100,"")</f>
      </c>
      <c r="N68" s="56">
        <f>IF(N67&gt;0,VLOOKUP(CONCATENATE($C$2,$B67),'Base Calculation'!$A$5:$O$89,N$5+2,FALSE)/N67*100,"")</f>
      </c>
      <c r="O68" s="56">
        <f>IF(O67&gt;0,VLOOKUP(CONCATENATE($C$2,$B67),'Base Calculation'!$A$5:$O$89,O$5+2,FALSE)/O67*100,"")</f>
      </c>
      <c r="P68" s="56">
        <f>IF(P67&gt;0,VLOOKUP(CONCATENATE($C$2,$B67),'Base Calculation'!$A$5:$O$89,P$5+2,FALSE)/P67*100,"")</f>
      </c>
      <c r="Q68" s="56">
        <f>IF(Q67&gt;0,VLOOKUP(CONCATENATE($C$2,$B67),'Base Calculation'!$A$5:$O$89,Q$5+2,FALSE)/Q67*100,"")</f>
      </c>
      <c r="R68" s="56">
        <f>IF(R67&gt;0,VLOOKUP(CONCATENATE($C$2,$B67),'Base Calculation'!$A$5:$O$89,R$5+2,FALSE)/R67*100,"")</f>
      </c>
      <c r="S68" s="56">
        <f>IF(S67&gt;0,VLOOKUP(CONCATENATE($C$2,$B67),'Base Calculation'!$A$5:$O$89,S$5+2,FALSE)/S67*100,"")</f>
      </c>
      <c r="T68" s="82">
        <f>IF(T67&gt;0,VLOOKUP(CONCATENATE($C$2,$B67),'Base Calculation'!$A$5:$O$89,U67+2,FALSE)/T67*100,"")</f>
      </c>
      <c r="U68" s="86">
        <f>IF(U67&gt;0,VLOOKUP(U67,BF$2:BG$14,2,FALSE),"")</f>
      </c>
      <c r="V68" s="87">
        <f>V67</f>
        <v>0</v>
      </c>
      <c r="W68" s="20"/>
      <c r="AP68">
        <f>17-COUNTIF(D68:T68,"")</f>
        <v>0</v>
      </c>
      <c r="AQ68" t="str">
        <f>CONCATENATE($C$2,BB68)</f>
        <v>Female</v>
      </c>
      <c r="AS68" s="25">
        <f>SUM(D68:H68)</f>
        <v>0</v>
      </c>
      <c r="AT68" s="25">
        <f>SUM(I68:M68)</f>
        <v>0</v>
      </c>
      <c r="AU68" s="25">
        <f>SUM(N68:S68)</f>
        <v>0</v>
      </c>
      <c r="AV68" s="25">
        <f>IF($AS68&gt;0,LARGE(D68:H68,1),0)</f>
        <v>0</v>
      </c>
      <c r="AW68" s="25">
        <f>IF($AT68&gt;0,LARGE(I68:M68,1),0)</f>
        <v>0</v>
      </c>
      <c r="AX68" s="25">
        <f>IF($AU68&gt;0,LARGE(N68:S68,1),0)</f>
        <v>0</v>
      </c>
      <c r="AY68" s="25">
        <f>IF('League Summary'!$X$2=1,T68,"")</f>
      </c>
      <c r="AZ68" s="25">
        <f>SUM(AV68:AY68)</f>
        <v>0</v>
      </c>
      <c r="BA68" t="str">
        <f>IF(AND(AV68&gt;0,AW68&gt;0,AX68&gt;0,(AP68&gt;=4)),"Q","NQ")</f>
        <v>NQ</v>
      </c>
      <c r="BB68">
        <f>IF(AZ68&gt;0,RANK(AZ68,AZ$8:AZ$86,0),"")</f>
      </c>
      <c r="BC68">
        <f>A67</f>
        <v>0</v>
      </c>
      <c r="BD68">
        <f t="shared" si="10"/>
        <v>0</v>
      </c>
      <c r="BK68" s="41">
        <f>IF(BJ68="In",BO68,"")</f>
      </c>
      <c r="BL68">
        <f>IF(BJ68="In",RANK(BK68,BK$7:BK$86,1),"")</f>
      </c>
      <c r="BM68">
        <f t="shared" si="11"/>
      </c>
      <c r="BN68">
        <f aca="true" t="shared" si="12" ref="BN68:BN86">BN67+1</f>
        <v>68</v>
      </c>
      <c r="BO68" s="108">
        <f t="shared" si="9"/>
      </c>
    </row>
    <row r="69" spans="1:70" ht="12.75">
      <c r="A69" s="192"/>
      <c r="B69" s="193"/>
      <c r="C69" s="194" t="s">
        <v>36</v>
      </c>
      <c r="D69" s="195">
        <v>0</v>
      </c>
      <c r="E69" s="195">
        <v>0</v>
      </c>
      <c r="F69" s="195">
        <v>0</v>
      </c>
      <c r="G69" s="195">
        <v>0</v>
      </c>
      <c r="H69" s="195">
        <v>0</v>
      </c>
      <c r="I69" s="195">
        <v>0</v>
      </c>
      <c r="J69" s="195">
        <v>0</v>
      </c>
      <c r="K69" s="195">
        <v>0</v>
      </c>
      <c r="L69" s="195">
        <v>0</v>
      </c>
      <c r="M69" s="195">
        <v>0</v>
      </c>
      <c r="N69" s="195">
        <v>0</v>
      </c>
      <c r="O69" s="195">
        <v>0</v>
      </c>
      <c r="P69" s="195">
        <v>0</v>
      </c>
      <c r="Q69" s="195">
        <v>0</v>
      </c>
      <c r="R69" s="195">
        <v>0</v>
      </c>
      <c r="S69" s="196">
        <v>0</v>
      </c>
      <c r="T69" s="196">
        <v>0</v>
      </c>
      <c r="U69" s="197"/>
      <c r="V69" s="198"/>
      <c r="W69" s="20"/>
      <c r="BC69">
        <f>A69</f>
        <v>0</v>
      </c>
      <c r="BD69">
        <f t="shared" si="10"/>
        <v>0</v>
      </c>
      <c r="BJ69">
        <f>IF(BO69&gt;0,"In","")</f>
      </c>
      <c r="BK69" s="41">
        <f>IF(BJ69="In",BO69,"")</f>
      </c>
      <c r="BL69">
        <f>IF(BJ69="In",RANK(BK69,BK$7:BK$86,1),"")</f>
      </c>
      <c r="BM69">
        <f t="shared" si="11"/>
      </c>
      <c r="BN69">
        <f t="shared" si="12"/>
        <v>69</v>
      </c>
      <c r="BO69" s="41">
        <f t="shared" si="9"/>
        <v>0</v>
      </c>
      <c r="BP69">
        <f>BO70</f>
      </c>
      <c r="BQ69">
        <f>IF($BJ69="In",A69,"")</f>
      </c>
      <c r="BR69">
        <f>IF($BJ69="In",B69,"")</f>
      </c>
    </row>
    <row r="70" spans="1:67" ht="13.5" thickBot="1">
      <c r="A70" s="58" t="str">
        <f>CONCATENATE(A69,C70)</f>
        <v>Points</v>
      </c>
      <c r="B70" s="55"/>
      <c r="C70" s="54" t="s">
        <v>37</v>
      </c>
      <c r="D70" s="56">
        <f>IF(D69&gt;0,VLOOKUP(CONCATENATE($C$2,$B69),'Base Calculation'!$A$5:$O$89,D$5+2,FALSE)/D69*100,"")</f>
      </c>
      <c r="E70" s="56">
        <f>IF(E69&gt;0,VLOOKUP(CONCATENATE($C$2,$B69),'Base Calculation'!$A$5:$O$89,E$5+2,FALSE)/E69*100,"")</f>
      </c>
      <c r="F70" s="56">
        <f>IF(F69&gt;0,VLOOKUP(CONCATENATE($C$2,$B69),'Base Calculation'!$A$5:$O$89,F$5+2,FALSE)/F69*100,"")</f>
      </c>
      <c r="G70" s="56">
        <f>IF(G69&gt;0,VLOOKUP(CONCATENATE($C$2,$B69),'Base Calculation'!$A$5:$O$89,G$5+2,FALSE)/G69*100,"")</f>
      </c>
      <c r="H70" s="56">
        <f>IF(H69&gt;0,VLOOKUP(CONCATENATE($C$2,$B69),'Base Calculation'!$A$5:$O$89,H$5+2,FALSE)/H69*100,"")</f>
      </c>
      <c r="I70" s="56">
        <f>IF(I69&gt;0,VLOOKUP(CONCATENATE($C$2,$B69),'Base Calculation'!$A$5:$O$89,I$5+2,FALSE)/I69*100,"")</f>
      </c>
      <c r="J70" s="56">
        <f>IF(J69&gt;0,VLOOKUP(CONCATENATE($C$2,$B69),'Base Calculation'!$A$5:$O$89,J$5+2,FALSE)/J69*100,"")</f>
      </c>
      <c r="K70" s="56">
        <f>IF(K69&gt;0,VLOOKUP(CONCATENATE($C$2,$B69),'Base Calculation'!$A$5:$O$89,K$5+2,FALSE)/K69*100,"")</f>
      </c>
      <c r="L70" s="56">
        <f>IF(L69&gt;0,VLOOKUP(CONCATENATE($C$2,$B69),'Base Calculation'!$A$5:$O$89,L$5+2,FALSE)/L69*100,"")</f>
      </c>
      <c r="M70" s="56">
        <f>IF(M69&gt;0,VLOOKUP(CONCATENATE($C$2,$B69),'Base Calculation'!$A$5:$O$89,M$5+2,FALSE)/M69*100,"")</f>
      </c>
      <c r="N70" s="56">
        <f>IF(N69&gt;0,VLOOKUP(CONCATENATE($C$2,$B69),'Base Calculation'!$A$5:$O$89,N$5+2,FALSE)/N69*100,"")</f>
      </c>
      <c r="O70" s="56">
        <f>IF(O69&gt;0,VLOOKUP(CONCATENATE($C$2,$B69),'Base Calculation'!$A$5:$O$89,O$5+2,FALSE)/O69*100,"")</f>
      </c>
      <c r="P70" s="56">
        <f>IF(P69&gt;0,VLOOKUP(CONCATENATE($C$2,$B69),'Base Calculation'!$A$5:$O$89,P$5+2,FALSE)/P69*100,"")</f>
      </c>
      <c r="Q70" s="56">
        <f>IF(Q69&gt;0,VLOOKUP(CONCATENATE($C$2,$B69),'Base Calculation'!$A$5:$O$89,Q$5+2,FALSE)/Q69*100,"")</f>
      </c>
      <c r="R70" s="56">
        <f>IF(R69&gt;0,VLOOKUP(CONCATENATE($C$2,$B69),'Base Calculation'!$A$5:$O$89,R$5+2,FALSE)/R69*100,"")</f>
      </c>
      <c r="S70" s="56">
        <f>IF(S69&gt;0,VLOOKUP(CONCATENATE($C$2,$B69),'Base Calculation'!$A$5:$O$89,S$5+2,FALSE)/S69*100,"")</f>
      </c>
      <c r="T70" s="82">
        <f>IF(T69&gt;0,VLOOKUP(CONCATENATE($C$2,$B69),'Base Calculation'!$A$5:$O$89,U69+2,FALSE)/T69*100,"")</f>
      </c>
      <c r="U70" s="86">
        <f>IF(U69&gt;0,VLOOKUP(U69,BF$2:BG$14,2,FALSE),"")</f>
      </c>
      <c r="V70" s="87">
        <f>V69</f>
        <v>0</v>
      </c>
      <c r="W70" s="20"/>
      <c r="AP70">
        <f>17-COUNTIF(D70:T70,"")</f>
        <v>0</v>
      </c>
      <c r="AQ70" t="str">
        <f>CONCATENATE($C$2,BB70)</f>
        <v>Female</v>
      </c>
      <c r="AS70" s="25">
        <f>SUM(D70:H70)</f>
        <v>0</v>
      </c>
      <c r="AT70" s="25">
        <f>SUM(I70:M70)</f>
        <v>0</v>
      </c>
      <c r="AU70" s="25">
        <f>SUM(N70:S70)</f>
        <v>0</v>
      </c>
      <c r="AV70" s="25">
        <f>IF($AS70&gt;0,LARGE(D70:H70,1),0)</f>
        <v>0</v>
      </c>
      <c r="AW70" s="25">
        <f>IF($AT70&gt;0,LARGE(I70:M70,1),0)</f>
        <v>0</v>
      </c>
      <c r="AX70" s="25">
        <f>IF($AU70&gt;0,LARGE(N70:S70,1),0)</f>
        <v>0</v>
      </c>
      <c r="AY70" s="25">
        <f>IF('League Summary'!$X$2=1,T70,"")</f>
      </c>
      <c r="AZ70" s="25">
        <f>SUM(AV70:AY70)</f>
        <v>0</v>
      </c>
      <c r="BA70" t="str">
        <f>IF(AND(AV70&gt;0,AW70&gt;0,AX70&gt;0,(AP70&gt;=4)),"Q","NQ")</f>
        <v>NQ</v>
      </c>
      <c r="BB70">
        <f>IF(AZ70&gt;0,RANK(AZ70,AZ$8:AZ$86,0),"")</f>
      </c>
      <c r="BC70">
        <f>A69</f>
        <v>0</v>
      </c>
      <c r="BD70">
        <f t="shared" si="10"/>
        <v>0</v>
      </c>
      <c r="BM70">
        <f t="shared" si="11"/>
      </c>
      <c r="BN70">
        <f t="shared" si="12"/>
        <v>70</v>
      </c>
      <c r="BO70" s="108">
        <f t="shared" si="9"/>
      </c>
    </row>
    <row r="71" spans="1:70" ht="13.5" thickBot="1">
      <c r="A71" s="192"/>
      <c r="B71" s="193"/>
      <c r="C71" s="194" t="s">
        <v>36</v>
      </c>
      <c r="D71" s="195">
        <v>0</v>
      </c>
      <c r="E71" s="195">
        <v>0</v>
      </c>
      <c r="F71" s="195">
        <v>0</v>
      </c>
      <c r="G71" s="195">
        <v>0</v>
      </c>
      <c r="H71" s="195">
        <v>0</v>
      </c>
      <c r="I71" s="195">
        <v>0</v>
      </c>
      <c r="J71" s="195">
        <v>0</v>
      </c>
      <c r="K71" s="195">
        <v>0</v>
      </c>
      <c r="L71" s="195">
        <v>0</v>
      </c>
      <c r="M71" s="195">
        <v>0</v>
      </c>
      <c r="N71" s="195">
        <v>0</v>
      </c>
      <c r="O71" s="195">
        <v>0</v>
      </c>
      <c r="P71" s="195">
        <v>0</v>
      </c>
      <c r="Q71" s="195">
        <v>0</v>
      </c>
      <c r="R71" s="195">
        <v>0</v>
      </c>
      <c r="S71" s="196">
        <v>0</v>
      </c>
      <c r="T71" s="196">
        <v>0</v>
      </c>
      <c r="U71" s="197"/>
      <c r="V71" s="198"/>
      <c r="W71" s="20"/>
      <c r="BC71">
        <f>A71</f>
        <v>0</v>
      </c>
      <c r="BD71">
        <f t="shared" si="10"/>
        <v>0</v>
      </c>
      <c r="BJ71">
        <f>IF(BO71&gt;0,"In","")</f>
      </c>
      <c r="BK71" s="41">
        <f>IF(BJ71="In",BO71,"")</f>
      </c>
      <c r="BL71">
        <f>IF(BJ71="In",RANK(BK71,BK$7:BK$86,1),"")</f>
      </c>
      <c r="BM71">
        <f t="shared" si="11"/>
      </c>
      <c r="BN71">
        <f t="shared" si="12"/>
        <v>71</v>
      </c>
      <c r="BO71" s="41">
        <f aca="true" t="shared" si="13" ref="BO71:BO86">HLOOKUP($BO$4,D$4:S$86,BN71-3,FALSE)</f>
        <v>0</v>
      </c>
      <c r="BP71">
        <f>BO72</f>
      </c>
      <c r="BQ71">
        <f>IF($BJ71="In",A71,"")</f>
      </c>
      <c r="BR71">
        <f>IF($BJ71="In",B71,"")</f>
      </c>
    </row>
    <row r="72" spans="1:67" ht="13.5" thickBot="1">
      <c r="A72" s="58" t="str">
        <f>CONCATENATE(A71,C72)</f>
        <v>Points</v>
      </c>
      <c r="B72" s="55"/>
      <c r="C72" s="54" t="s">
        <v>37</v>
      </c>
      <c r="D72" s="56">
        <f>IF(D71&gt;0,VLOOKUP(CONCATENATE($C$2,$B71),'Base Calculation'!$A$5:$O$89,D$5+2,FALSE)/D71*100,"")</f>
      </c>
      <c r="E72" s="56">
        <f>IF(E71&gt;0,VLOOKUP(CONCATENATE($C$2,$B71),'Base Calculation'!$A$5:$O$89,E$5+2,FALSE)/E71*100,"")</f>
      </c>
      <c r="F72" s="56">
        <f>IF(F71&gt;0,VLOOKUP(CONCATENATE($C$2,$B71),'Base Calculation'!$A$5:$O$89,F$5+2,FALSE)/F71*100,"")</f>
      </c>
      <c r="G72" s="56">
        <f>IF(G71&gt;0,VLOOKUP(CONCATENATE($C$2,$B71),'Base Calculation'!$A$5:$O$89,G$5+2,FALSE)/G71*100,"")</f>
      </c>
      <c r="H72" s="56">
        <f>IF(H71&gt;0,VLOOKUP(CONCATENATE($C$2,$B71),'Base Calculation'!$A$5:$O$89,H$5+2,FALSE)/H71*100,"")</f>
      </c>
      <c r="I72" s="56">
        <f>IF(I71&gt;0,VLOOKUP(CONCATENATE($C$2,$B71),'Base Calculation'!$A$5:$O$89,I$5+2,FALSE)/I71*100,"")</f>
      </c>
      <c r="J72" s="56">
        <f>IF(J71&gt;0,VLOOKUP(CONCATENATE($C$2,$B71),'Base Calculation'!$A$5:$O$89,J$5+2,FALSE)/J71*100,"")</f>
      </c>
      <c r="K72" s="56">
        <f>IF(K71&gt;0,VLOOKUP(CONCATENATE($C$2,$B71),'Base Calculation'!$A$5:$O$89,K$5+2,FALSE)/K71*100,"")</f>
      </c>
      <c r="L72" s="56">
        <f>IF(L71&gt;0,VLOOKUP(CONCATENATE($C$2,$B71),'Base Calculation'!$A$5:$O$89,L$5+2,FALSE)/L71*100,"")</f>
      </c>
      <c r="M72" s="56">
        <f>IF(M71&gt;0,VLOOKUP(CONCATENATE($C$2,$B71),'Base Calculation'!$A$5:$O$89,M$5+2,FALSE)/M71*100,"")</f>
      </c>
      <c r="N72" s="56">
        <f>IF(N71&gt;0,VLOOKUP(CONCATENATE($C$2,$B71),'Base Calculation'!$A$5:$O$89,N$5+2,FALSE)/N71*100,"")</f>
      </c>
      <c r="O72" s="56">
        <f>IF(O71&gt;0,VLOOKUP(CONCATENATE($C$2,$B71),'Base Calculation'!$A$5:$O$89,O$5+2,FALSE)/O71*100,"")</f>
      </c>
      <c r="P72" s="56">
        <f>IF(P71&gt;0,VLOOKUP(CONCATENATE($C$2,$B71),'Base Calculation'!$A$5:$O$89,P$5+2,FALSE)/P71*100,"")</f>
      </c>
      <c r="Q72" s="56">
        <f>IF(Q71&gt;0,VLOOKUP(CONCATENATE($C$2,$B71),'Base Calculation'!$A$5:$O$89,Q$5+2,FALSE)/Q71*100,"")</f>
      </c>
      <c r="R72" s="56">
        <f>IF(R71&gt;0,VLOOKUP(CONCATENATE($C$2,$B71),'Base Calculation'!$A$5:$O$89,R$5+2,FALSE)/R71*100,"")</f>
      </c>
      <c r="S72" s="56">
        <f>IF(S71&gt;0,VLOOKUP(CONCATENATE($C$2,$B71),'Base Calculation'!$A$5:$O$89,S$5+2,FALSE)/S71*100,"")</f>
      </c>
      <c r="T72" s="82">
        <f>IF(T71&gt;0,VLOOKUP(CONCATENATE($C$2,$B71),'Base Calculation'!$A$5:$O$89,U71+2,FALSE)/T71*100,"")</f>
      </c>
      <c r="U72" s="86">
        <f>IF(U71&gt;0,VLOOKUP(U71,BF$2:BG$14,2,FALSE),"")</f>
      </c>
      <c r="V72" s="87">
        <f>V71</f>
        <v>0</v>
      </c>
      <c r="W72" s="20"/>
      <c r="AP72">
        <f>17-COUNTIF(D72:T72,"")</f>
        <v>0</v>
      </c>
      <c r="AQ72" t="str">
        <f>CONCATENATE($C$2,BB72)</f>
        <v>Female</v>
      </c>
      <c r="AS72" s="25">
        <f>SUM(D72:H72)</f>
        <v>0</v>
      </c>
      <c r="AT72" s="25">
        <f>SUM(I72:M72)</f>
        <v>0</v>
      </c>
      <c r="AU72" s="25">
        <f>SUM(N72:S72)</f>
        <v>0</v>
      </c>
      <c r="AV72" s="25">
        <f>IF($AS72&gt;0,LARGE(D72:H72,1),0)</f>
        <v>0</v>
      </c>
      <c r="AW72" s="25">
        <f>IF($AT72&gt;0,LARGE(I72:M72,1),0)</f>
        <v>0</v>
      </c>
      <c r="AX72" s="25">
        <f>IF($AU72&gt;0,LARGE(N72:S72,1),0)</f>
        <v>0</v>
      </c>
      <c r="AY72" s="25">
        <f>IF('League Summary'!$X$2=1,T72,"")</f>
      </c>
      <c r="AZ72" s="25">
        <f>SUM(AV72:AY72)</f>
        <v>0</v>
      </c>
      <c r="BA72" t="str">
        <f>IF(AND(AV72&gt;0,AW72&gt;0,AX72&gt;0,(AP72&gt;=4)),"Q","NQ")</f>
        <v>NQ</v>
      </c>
      <c r="BB72">
        <f>IF(AZ72&gt;0,RANK(AZ72,AZ$8:AZ$86,0),"")</f>
      </c>
      <c r="BC72">
        <f>A71</f>
        <v>0</v>
      </c>
      <c r="BD72">
        <f t="shared" si="10"/>
        <v>0</v>
      </c>
      <c r="BK72" s="41">
        <f>IF(BJ72="In",BO72,"")</f>
      </c>
      <c r="BL72">
        <f>IF(BJ72="In",RANK(BK72,BK$7:BK$86,1),"")</f>
      </c>
      <c r="BM72">
        <f t="shared" si="11"/>
      </c>
      <c r="BN72">
        <f t="shared" si="12"/>
        <v>72</v>
      </c>
      <c r="BO72" s="108">
        <f t="shared" si="13"/>
      </c>
    </row>
    <row r="73" spans="1:70" ht="12.75">
      <c r="A73" s="192"/>
      <c r="B73" s="193"/>
      <c r="C73" s="194" t="s">
        <v>36</v>
      </c>
      <c r="D73" s="195">
        <v>0</v>
      </c>
      <c r="E73" s="195">
        <v>0</v>
      </c>
      <c r="F73" s="195">
        <v>0</v>
      </c>
      <c r="G73" s="195">
        <v>0</v>
      </c>
      <c r="H73" s="195">
        <v>0</v>
      </c>
      <c r="I73" s="195">
        <v>0</v>
      </c>
      <c r="J73" s="195">
        <v>0</v>
      </c>
      <c r="K73" s="195">
        <v>0</v>
      </c>
      <c r="L73" s="195">
        <v>0</v>
      </c>
      <c r="M73" s="195">
        <v>0</v>
      </c>
      <c r="N73" s="195">
        <v>0</v>
      </c>
      <c r="O73" s="195">
        <v>0</v>
      </c>
      <c r="P73" s="195">
        <v>0</v>
      </c>
      <c r="Q73" s="195">
        <v>0</v>
      </c>
      <c r="R73" s="195">
        <v>0</v>
      </c>
      <c r="S73" s="196">
        <v>0</v>
      </c>
      <c r="T73" s="196">
        <v>0</v>
      </c>
      <c r="U73" s="197"/>
      <c r="V73" s="198"/>
      <c r="W73" s="20"/>
      <c r="BC73">
        <f>A73</f>
        <v>0</v>
      </c>
      <c r="BD73">
        <f t="shared" si="10"/>
        <v>0</v>
      </c>
      <c r="BJ73">
        <f>IF(BO73&gt;0,"In","")</f>
      </c>
      <c r="BK73" s="41">
        <f>IF(BJ73="In",BO73,"")</f>
      </c>
      <c r="BL73">
        <f>IF(BJ73="In",RANK(BK73,BK$7:BK$86,1),"")</f>
      </c>
      <c r="BM73">
        <f t="shared" si="11"/>
      </c>
      <c r="BN73">
        <f t="shared" si="12"/>
        <v>73</v>
      </c>
      <c r="BO73" s="41">
        <f t="shared" si="13"/>
        <v>0</v>
      </c>
      <c r="BP73">
        <f>BO74</f>
      </c>
      <c r="BQ73">
        <f>IF($BJ73="In",A73,"")</f>
      </c>
      <c r="BR73">
        <f>IF($BJ73="In",B73,"")</f>
      </c>
    </row>
    <row r="74" spans="1:67" ht="13.5" thickBot="1">
      <c r="A74" s="58" t="str">
        <f>CONCATENATE(A73,C74)</f>
        <v>Points</v>
      </c>
      <c r="B74" s="55"/>
      <c r="C74" s="54" t="s">
        <v>37</v>
      </c>
      <c r="D74" s="56">
        <f>IF(D73&gt;0,VLOOKUP(CONCATENATE($C$2,$B73),'Base Calculation'!$A$5:$O$89,D$5+2,FALSE)/D73*100,"")</f>
      </c>
      <c r="E74" s="56">
        <f>IF(E73&gt;0,VLOOKUP(CONCATENATE($C$2,$B73),'Base Calculation'!$A$5:$O$89,E$5+2,FALSE)/E73*100,"")</f>
      </c>
      <c r="F74" s="56">
        <f>IF(F73&gt;0,VLOOKUP(CONCATENATE($C$2,$B73),'Base Calculation'!$A$5:$O$89,F$5+2,FALSE)/F73*100,"")</f>
      </c>
      <c r="G74" s="56">
        <f>IF(G73&gt;0,VLOOKUP(CONCATENATE($C$2,$B73),'Base Calculation'!$A$5:$O$89,G$5+2,FALSE)/G73*100,"")</f>
      </c>
      <c r="H74" s="56">
        <f>IF(H73&gt;0,VLOOKUP(CONCATENATE($C$2,$B73),'Base Calculation'!$A$5:$O$89,H$5+2,FALSE)/H73*100,"")</f>
      </c>
      <c r="I74" s="56">
        <f>IF(I73&gt;0,VLOOKUP(CONCATENATE($C$2,$B73),'Base Calculation'!$A$5:$O$89,I$5+2,FALSE)/I73*100,"")</f>
      </c>
      <c r="J74" s="56">
        <f>IF(J73&gt;0,VLOOKUP(CONCATENATE($C$2,$B73),'Base Calculation'!$A$5:$O$89,J$5+2,FALSE)/J73*100,"")</f>
      </c>
      <c r="K74" s="56">
        <f>IF(K73&gt;0,VLOOKUP(CONCATENATE($C$2,$B73),'Base Calculation'!$A$5:$O$89,K$5+2,FALSE)/K73*100,"")</f>
      </c>
      <c r="L74" s="56">
        <f>IF(L73&gt;0,VLOOKUP(CONCATENATE($C$2,$B73),'Base Calculation'!$A$5:$O$89,L$5+2,FALSE)/L73*100,"")</f>
      </c>
      <c r="M74" s="56">
        <f>IF(M73&gt;0,VLOOKUP(CONCATENATE($C$2,$B73),'Base Calculation'!$A$5:$O$89,M$5+2,FALSE)/M73*100,"")</f>
      </c>
      <c r="N74" s="56">
        <f>IF(N73&gt;0,VLOOKUP(CONCATENATE($C$2,$B73),'Base Calculation'!$A$5:$O$89,N$5+2,FALSE)/N73*100,"")</f>
      </c>
      <c r="O74" s="56">
        <f>IF(O73&gt;0,VLOOKUP(CONCATENATE($C$2,$B73),'Base Calculation'!$A$5:$O$89,O$5+2,FALSE)/O73*100,"")</f>
      </c>
      <c r="P74" s="56">
        <f>IF(P73&gt;0,VLOOKUP(CONCATENATE($C$2,$B73),'Base Calculation'!$A$5:$O$89,P$5+2,FALSE)/P73*100,"")</f>
      </c>
      <c r="Q74" s="56">
        <f>IF(Q73&gt;0,VLOOKUP(CONCATENATE($C$2,$B73),'Base Calculation'!$A$5:$O$89,Q$5+2,FALSE)/Q73*100,"")</f>
      </c>
      <c r="R74" s="56">
        <f>IF(R73&gt;0,VLOOKUP(CONCATENATE($C$2,$B73),'Base Calculation'!$A$5:$O$89,R$5+2,FALSE)/R73*100,"")</f>
      </c>
      <c r="S74" s="56">
        <f>IF(S73&gt;0,VLOOKUP(CONCATENATE($C$2,$B73),'Base Calculation'!$A$5:$O$89,S$5+2,FALSE)/S73*100,"")</f>
      </c>
      <c r="T74" s="82">
        <f>IF(T73&gt;0,VLOOKUP(CONCATENATE($C$2,$B73),'Base Calculation'!$A$5:$O$89,U73+2,FALSE)/T73*100,"")</f>
      </c>
      <c r="U74" s="86">
        <f>IF(U73&gt;0,VLOOKUP(U73,BF$2:BG$14,2,FALSE),"")</f>
      </c>
      <c r="V74" s="87">
        <f>V73</f>
        <v>0</v>
      </c>
      <c r="W74" s="20"/>
      <c r="AP74">
        <f>17-COUNTIF(D74:T74,"")</f>
        <v>0</v>
      </c>
      <c r="AQ74" t="str">
        <f>CONCATENATE($C$2,BB74)</f>
        <v>Female</v>
      </c>
      <c r="AS74" s="25">
        <f>SUM(D74:H74)</f>
        <v>0</v>
      </c>
      <c r="AT74" s="25">
        <f>SUM(I74:M74)</f>
        <v>0</v>
      </c>
      <c r="AU74" s="25">
        <f>SUM(N74:S74)</f>
        <v>0</v>
      </c>
      <c r="AV74" s="25">
        <f>IF($AS74&gt;0,LARGE(D74:H74,1),0)</f>
        <v>0</v>
      </c>
      <c r="AW74" s="25">
        <f>IF($AT74&gt;0,LARGE(I74:M74,1),0)</f>
        <v>0</v>
      </c>
      <c r="AX74" s="25">
        <f>IF($AU74&gt;0,LARGE(N74:S74,1),0)</f>
        <v>0</v>
      </c>
      <c r="AY74" s="25">
        <f>IF('League Summary'!$X$2=1,T74,"")</f>
      </c>
      <c r="AZ74" s="25">
        <f>SUM(AV74:AY74)</f>
        <v>0</v>
      </c>
      <c r="BA74" t="str">
        <f>IF(AND(AV74&gt;0,AW74&gt;0,AX74&gt;0,(AP74&gt;=4)),"Q","NQ")</f>
        <v>NQ</v>
      </c>
      <c r="BB74">
        <f>IF(AZ74&gt;0,RANK(AZ74,AZ$8:AZ$86,0),"")</f>
      </c>
      <c r="BC74">
        <f>A73</f>
        <v>0</v>
      </c>
      <c r="BD74">
        <f t="shared" si="10"/>
        <v>0</v>
      </c>
      <c r="BM74">
        <f t="shared" si="11"/>
      </c>
      <c r="BN74">
        <f t="shared" si="12"/>
        <v>74</v>
      </c>
      <c r="BO74" s="108">
        <f t="shared" si="13"/>
      </c>
    </row>
    <row r="75" spans="1:70" ht="13.5" thickBot="1">
      <c r="A75" s="192"/>
      <c r="B75" s="193"/>
      <c r="C75" s="194" t="s">
        <v>36</v>
      </c>
      <c r="D75" s="195">
        <v>0</v>
      </c>
      <c r="E75" s="195">
        <v>0</v>
      </c>
      <c r="F75" s="195">
        <v>0</v>
      </c>
      <c r="G75" s="195">
        <v>0</v>
      </c>
      <c r="H75" s="195">
        <v>0</v>
      </c>
      <c r="I75" s="195">
        <v>0</v>
      </c>
      <c r="J75" s="195">
        <v>0</v>
      </c>
      <c r="K75" s="195">
        <v>0</v>
      </c>
      <c r="L75" s="195">
        <v>0</v>
      </c>
      <c r="M75" s="195">
        <v>0</v>
      </c>
      <c r="N75" s="195">
        <v>0</v>
      </c>
      <c r="O75" s="195">
        <v>0</v>
      </c>
      <c r="P75" s="195">
        <v>0</v>
      </c>
      <c r="Q75" s="195">
        <v>0</v>
      </c>
      <c r="R75" s="195">
        <v>0</v>
      </c>
      <c r="S75" s="196">
        <v>0</v>
      </c>
      <c r="T75" s="196">
        <v>0</v>
      </c>
      <c r="U75" s="197"/>
      <c r="V75" s="198"/>
      <c r="W75" s="20"/>
      <c r="BC75">
        <f>A75</f>
        <v>0</v>
      </c>
      <c r="BD75">
        <f t="shared" si="10"/>
        <v>0</v>
      </c>
      <c r="BJ75">
        <f>IF(BO75&gt;0,"In","")</f>
      </c>
      <c r="BK75" s="41">
        <f>IF(BJ75="In",BO75,"")</f>
      </c>
      <c r="BL75">
        <f>IF(BJ75="In",RANK(BK75,BK$7:BK$86,1),"")</f>
      </c>
      <c r="BM75">
        <f t="shared" si="11"/>
      </c>
      <c r="BN75">
        <f t="shared" si="12"/>
        <v>75</v>
      </c>
      <c r="BO75" s="41">
        <f t="shared" si="13"/>
        <v>0</v>
      </c>
      <c r="BP75">
        <f>BO76</f>
      </c>
      <c r="BQ75">
        <f>IF($BJ75="In",A75,"")</f>
      </c>
      <c r="BR75">
        <f>IF($BJ75="In",B75,"")</f>
      </c>
    </row>
    <row r="76" spans="1:67" ht="13.5" thickBot="1">
      <c r="A76" s="58" t="str">
        <f>CONCATENATE(A75,C76)</f>
        <v>Points</v>
      </c>
      <c r="B76" s="55"/>
      <c r="C76" s="54" t="s">
        <v>37</v>
      </c>
      <c r="D76" s="56">
        <f>IF(D75&gt;0,VLOOKUP(CONCATENATE($C$2,$B75),'Base Calculation'!$A$5:$O$89,D$5+2,FALSE)/D75*100,"")</f>
      </c>
      <c r="E76" s="56">
        <f>IF(E75&gt;0,VLOOKUP(CONCATENATE($C$2,$B75),'Base Calculation'!$A$5:$O$89,E$5+2,FALSE)/E75*100,"")</f>
      </c>
      <c r="F76" s="56">
        <f>IF(F75&gt;0,VLOOKUP(CONCATENATE($C$2,$B75),'Base Calculation'!$A$5:$O$89,F$5+2,FALSE)/F75*100,"")</f>
      </c>
      <c r="G76" s="56">
        <f>IF(G75&gt;0,VLOOKUP(CONCATENATE($C$2,$B75),'Base Calculation'!$A$5:$O$89,G$5+2,FALSE)/G75*100,"")</f>
      </c>
      <c r="H76" s="56">
        <f>IF(H75&gt;0,VLOOKUP(CONCATENATE($C$2,$B75),'Base Calculation'!$A$5:$O$89,H$5+2,FALSE)/H75*100,"")</f>
      </c>
      <c r="I76" s="56">
        <f>IF(I75&gt;0,VLOOKUP(CONCATENATE($C$2,$B75),'Base Calculation'!$A$5:$O$89,I$5+2,FALSE)/I75*100,"")</f>
      </c>
      <c r="J76" s="56">
        <f>IF(J75&gt;0,VLOOKUP(CONCATENATE($C$2,$B75),'Base Calculation'!$A$5:$O$89,J$5+2,FALSE)/J75*100,"")</f>
      </c>
      <c r="K76" s="56">
        <f>IF(K75&gt;0,VLOOKUP(CONCATENATE($C$2,$B75),'Base Calculation'!$A$5:$O$89,K$5+2,FALSE)/K75*100,"")</f>
      </c>
      <c r="L76" s="56">
        <f>IF(L75&gt;0,VLOOKUP(CONCATENATE($C$2,$B75),'Base Calculation'!$A$5:$O$89,L$5+2,FALSE)/L75*100,"")</f>
      </c>
      <c r="M76" s="56">
        <f>IF(M75&gt;0,VLOOKUP(CONCATENATE($C$2,$B75),'Base Calculation'!$A$5:$O$89,M$5+2,FALSE)/M75*100,"")</f>
      </c>
      <c r="N76" s="56">
        <f>IF(N75&gt;0,VLOOKUP(CONCATENATE($C$2,$B75),'Base Calculation'!$A$5:$O$89,N$5+2,FALSE)/N75*100,"")</f>
      </c>
      <c r="O76" s="56">
        <f>IF(O75&gt;0,VLOOKUP(CONCATENATE($C$2,$B75),'Base Calculation'!$A$5:$O$89,O$5+2,FALSE)/O75*100,"")</f>
      </c>
      <c r="P76" s="56">
        <f>IF(P75&gt;0,VLOOKUP(CONCATENATE($C$2,$B75),'Base Calculation'!$A$5:$O$89,P$5+2,FALSE)/P75*100,"")</f>
      </c>
      <c r="Q76" s="56">
        <f>IF(Q75&gt;0,VLOOKUP(CONCATENATE($C$2,$B75),'Base Calculation'!$A$5:$O$89,Q$5+2,FALSE)/Q75*100,"")</f>
      </c>
      <c r="R76" s="56">
        <f>IF(R75&gt;0,VLOOKUP(CONCATENATE($C$2,$B75),'Base Calculation'!$A$5:$O$89,R$5+2,FALSE)/R75*100,"")</f>
      </c>
      <c r="S76" s="56">
        <f>IF(S75&gt;0,VLOOKUP(CONCATENATE($C$2,$B75),'Base Calculation'!$A$5:$O$89,S$5+2,FALSE)/S75*100,"")</f>
      </c>
      <c r="T76" s="82">
        <f>IF(T75&gt;0,VLOOKUP(CONCATENATE($C$2,$B75),'Base Calculation'!$A$5:$O$89,U75+2,FALSE)/T75*100,"")</f>
      </c>
      <c r="U76" s="86">
        <f>IF(U75&gt;0,VLOOKUP(U75,BF$2:BG$14,2,FALSE),"")</f>
      </c>
      <c r="V76" s="87">
        <f>V75</f>
        <v>0</v>
      </c>
      <c r="W76" s="20"/>
      <c r="AP76">
        <f>17-COUNTIF(D76:T76,"")</f>
        <v>0</v>
      </c>
      <c r="AQ76" t="str">
        <f>CONCATENATE($C$2,BB76)</f>
        <v>Female</v>
      </c>
      <c r="AS76" s="25">
        <f>SUM(D76:H76)</f>
        <v>0</v>
      </c>
      <c r="AT76" s="25">
        <f>SUM(I76:M76)</f>
        <v>0</v>
      </c>
      <c r="AU76" s="25">
        <f>SUM(N76:S76)</f>
        <v>0</v>
      </c>
      <c r="AV76" s="25">
        <f>IF($AS76&gt;0,LARGE(D76:H76,1),0)</f>
        <v>0</v>
      </c>
      <c r="AW76" s="25">
        <f>IF($AT76&gt;0,LARGE(I76:M76,1),0)</f>
        <v>0</v>
      </c>
      <c r="AX76" s="25">
        <f>IF($AU76&gt;0,LARGE(N76:S76,1),0)</f>
        <v>0</v>
      </c>
      <c r="AY76" s="25">
        <f>IF('League Summary'!$X$2=1,T76,"")</f>
      </c>
      <c r="AZ76" s="25">
        <f>SUM(AV76:AY76)</f>
        <v>0</v>
      </c>
      <c r="BA76" t="str">
        <f>IF(AND(AV76&gt;0,AW76&gt;0,AX76&gt;0,(AP76&gt;=4)),"Q","NQ")</f>
        <v>NQ</v>
      </c>
      <c r="BB76">
        <f>IF(AZ76&gt;0,RANK(AZ76,AZ$8:AZ$86,0),"")</f>
      </c>
      <c r="BC76">
        <f>A75</f>
        <v>0</v>
      </c>
      <c r="BD76">
        <f t="shared" si="10"/>
        <v>0</v>
      </c>
      <c r="BK76" s="41">
        <f>IF(BJ76="In",BO76,"")</f>
      </c>
      <c r="BL76">
        <f>IF(BJ76="In",RANK(BK76,BK$7:BK$86,1),"")</f>
      </c>
      <c r="BM76">
        <f t="shared" si="11"/>
      </c>
      <c r="BN76">
        <f t="shared" si="12"/>
        <v>76</v>
      </c>
      <c r="BO76" s="108">
        <f t="shared" si="13"/>
      </c>
    </row>
    <row r="77" spans="1:70" ht="12.75">
      <c r="A77" s="192"/>
      <c r="B77" s="193"/>
      <c r="C77" s="194" t="s">
        <v>36</v>
      </c>
      <c r="D77" s="195">
        <v>0</v>
      </c>
      <c r="E77" s="195">
        <v>0</v>
      </c>
      <c r="F77" s="195">
        <v>0</v>
      </c>
      <c r="G77" s="195">
        <v>0</v>
      </c>
      <c r="H77" s="195">
        <v>0</v>
      </c>
      <c r="I77" s="195">
        <v>0</v>
      </c>
      <c r="J77" s="195">
        <v>0</v>
      </c>
      <c r="K77" s="195">
        <v>0</v>
      </c>
      <c r="L77" s="195">
        <v>0</v>
      </c>
      <c r="M77" s="195">
        <v>0</v>
      </c>
      <c r="N77" s="195">
        <v>0</v>
      </c>
      <c r="O77" s="195">
        <v>0</v>
      </c>
      <c r="P77" s="195">
        <v>0</v>
      </c>
      <c r="Q77" s="195">
        <v>0</v>
      </c>
      <c r="R77" s="195">
        <v>0</v>
      </c>
      <c r="S77" s="196">
        <v>0</v>
      </c>
      <c r="T77" s="196">
        <v>0</v>
      </c>
      <c r="U77" s="197"/>
      <c r="V77" s="198"/>
      <c r="W77" s="20"/>
      <c r="BC77">
        <f>A77</f>
        <v>0</v>
      </c>
      <c r="BD77">
        <f t="shared" si="10"/>
        <v>0</v>
      </c>
      <c r="BJ77">
        <f>IF(BO77&gt;0,"In","")</f>
      </c>
      <c r="BK77" s="41">
        <f>IF(BJ77="In",BO77,"")</f>
      </c>
      <c r="BL77">
        <f>IF(BJ77="In",RANK(BK77,BK$7:BK$86,1),"")</f>
      </c>
      <c r="BM77">
        <f t="shared" si="11"/>
      </c>
      <c r="BN77">
        <f t="shared" si="12"/>
        <v>77</v>
      </c>
      <c r="BO77" s="41">
        <f t="shared" si="13"/>
        <v>0</v>
      </c>
      <c r="BP77">
        <f>BO78</f>
      </c>
      <c r="BQ77">
        <f>IF($BJ77="In",A77,"")</f>
      </c>
      <c r="BR77">
        <f>IF($BJ77="In",B77,"")</f>
      </c>
    </row>
    <row r="78" spans="1:67" ht="13.5" thickBot="1">
      <c r="A78" s="58" t="str">
        <f>CONCATENATE(A77,C78)</f>
        <v>Points</v>
      </c>
      <c r="B78" s="55"/>
      <c r="C78" s="54" t="s">
        <v>37</v>
      </c>
      <c r="D78" s="56">
        <f>IF(D77&gt;0,VLOOKUP(CONCATENATE($C$2,$B77),'Base Calculation'!$A$5:$O$89,D$5+2,FALSE)/D77*100,"")</f>
      </c>
      <c r="E78" s="56">
        <f>IF(E77&gt;0,VLOOKUP(CONCATENATE($C$2,$B77),'Base Calculation'!$A$5:$O$89,E$5+2,FALSE)/E77*100,"")</f>
      </c>
      <c r="F78" s="56">
        <f>IF(F77&gt;0,VLOOKUP(CONCATENATE($C$2,$B77),'Base Calculation'!$A$5:$O$89,F$5+2,FALSE)/F77*100,"")</f>
      </c>
      <c r="G78" s="56">
        <f>IF(G77&gt;0,VLOOKUP(CONCATENATE($C$2,$B77),'Base Calculation'!$A$5:$O$89,G$5+2,FALSE)/G77*100,"")</f>
      </c>
      <c r="H78" s="56">
        <f>IF(H77&gt;0,VLOOKUP(CONCATENATE($C$2,$B77),'Base Calculation'!$A$5:$O$89,H$5+2,FALSE)/H77*100,"")</f>
      </c>
      <c r="I78" s="56">
        <f>IF(I77&gt;0,VLOOKUP(CONCATENATE($C$2,$B77),'Base Calculation'!$A$5:$O$89,I$5+2,FALSE)/I77*100,"")</f>
      </c>
      <c r="J78" s="56">
        <f>IF(J77&gt;0,VLOOKUP(CONCATENATE($C$2,$B77),'Base Calculation'!$A$5:$O$89,J$5+2,FALSE)/J77*100,"")</f>
      </c>
      <c r="K78" s="56">
        <f>IF(K77&gt;0,VLOOKUP(CONCATENATE($C$2,$B77),'Base Calculation'!$A$5:$O$89,K$5+2,FALSE)/K77*100,"")</f>
      </c>
      <c r="L78" s="56">
        <f>IF(L77&gt;0,VLOOKUP(CONCATENATE($C$2,$B77),'Base Calculation'!$A$5:$O$89,L$5+2,FALSE)/L77*100,"")</f>
      </c>
      <c r="M78" s="56">
        <f>IF(M77&gt;0,VLOOKUP(CONCATENATE($C$2,$B77),'Base Calculation'!$A$5:$O$89,M$5+2,FALSE)/M77*100,"")</f>
      </c>
      <c r="N78" s="56">
        <f>IF(N77&gt;0,VLOOKUP(CONCATENATE($C$2,$B77),'Base Calculation'!$A$5:$O$89,N$5+2,FALSE)/N77*100,"")</f>
      </c>
      <c r="O78" s="56">
        <f>IF(O77&gt;0,VLOOKUP(CONCATENATE($C$2,$B77),'Base Calculation'!$A$5:$O$89,O$5+2,FALSE)/O77*100,"")</f>
      </c>
      <c r="P78" s="56">
        <f>IF(P77&gt;0,VLOOKUP(CONCATENATE($C$2,$B77),'Base Calculation'!$A$5:$O$89,P$5+2,FALSE)/P77*100,"")</f>
      </c>
      <c r="Q78" s="56">
        <f>IF(Q77&gt;0,VLOOKUP(CONCATENATE($C$2,$B77),'Base Calculation'!$A$5:$O$89,Q$5+2,FALSE)/Q77*100,"")</f>
      </c>
      <c r="R78" s="56">
        <f>IF(R77&gt;0,VLOOKUP(CONCATENATE($C$2,$B77),'Base Calculation'!$A$5:$O$89,R$5+2,FALSE)/R77*100,"")</f>
      </c>
      <c r="S78" s="56">
        <f>IF(S77&gt;0,VLOOKUP(CONCATENATE($C$2,$B77),'Base Calculation'!$A$5:$O$89,S$5+2,FALSE)/S77*100,"")</f>
      </c>
      <c r="T78" s="82">
        <f>IF(T77&gt;0,VLOOKUP(CONCATENATE($C$2,$B77),'Base Calculation'!$A$5:$O$89,U77+2,FALSE)/T77*100,"")</f>
      </c>
      <c r="U78" s="86">
        <f>IF(U77&gt;0,VLOOKUP(U77,BF$2:BG$14,2,FALSE),"")</f>
      </c>
      <c r="V78" s="87">
        <f>V77</f>
        <v>0</v>
      </c>
      <c r="W78" s="20"/>
      <c r="AP78">
        <f>17-COUNTIF(D78:T78,"")</f>
        <v>0</v>
      </c>
      <c r="AQ78" t="str">
        <f>CONCATENATE($C$2,BB78)</f>
        <v>Female</v>
      </c>
      <c r="AS78" s="25">
        <f>SUM(D78:H78)</f>
        <v>0</v>
      </c>
      <c r="AT78" s="25">
        <f>SUM(I78:M78)</f>
        <v>0</v>
      </c>
      <c r="AU78" s="25">
        <f>SUM(N78:S78)</f>
        <v>0</v>
      </c>
      <c r="AV78" s="25">
        <f>IF($AS78&gt;0,LARGE(D78:H78,1),0)</f>
        <v>0</v>
      </c>
      <c r="AW78" s="25">
        <f>IF($AT78&gt;0,LARGE(I78:M78,1),0)</f>
        <v>0</v>
      </c>
      <c r="AX78" s="25">
        <f>IF($AU78&gt;0,LARGE(N78:S78,1),0)</f>
        <v>0</v>
      </c>
      <c r="AY78" s="25">
        <f>IF('League Summary'!$X$2=1,T78,"")</f>
      </c>
      <c r="AZ78" s="25">
        <f>SUM(AV78:AY78)</f>
        <v>0</v>
      </c>
      <c r="BA78" t="str">
        <f>IF(AND(AV78&gt;0,AW78&gt;0,AX78&gt;0,(AP78&gt;=4)),"Q","NQ")</f>
        <v>NQ</v>
      </c>
      <c r="BB78">
        <f>IF(AZ78&gt;0,RANK(AZ78,AZ$8:AZ$86,0),"")</f>
      </c>
      <c r="BC78">
        <f>A77</f>
        <v>0</v>
      </c>
      <c r="BD78">
        <f t="shared" si="10"/>
        <v>0</v>
      </c>
      <c r="BM78">
        <f t="shared" si="11"/>
      </c>
      <c r="BN78">
        <f t="shared" si="12"/>
        <v>78</v>
      </c>
      <c r="BO78" s="108">
        <f t="shared" si="13"/>
      </c>
    </row>
    <row r="79" spans="1:70" ht="13.5" thickBot="1">
      <c r="A79" s="192"/>
      <c r="B79" s="193"/>
      <c r="C79" s="194" t="s">
        <v>36</v>
      </c>
      <c r="D79" s="195">
        <v>0</v>
      </c>
      <c r="E79" s="195">
        <v>0</v>
      </c>
      <c r="F79" s="195">
        <v>0</v>
      </c>
      <c r="G79" s="195">
        <v>0</v>
      </c>
      <c r="H79" s="195">
        <v>0</v>
      </c>
      <c r="I79" s="195">
        <v>0</v>
      </c>
      <c r="J79" s="195">
        <v>0</v>
      </c>
      <c r="K79" s="195">
        <v>0</v>
      </c>
      <c r="L79" s="195">
        <v>0</v>
      </c>
      <c r="M79" s="195">
        <v>0</v>
      </c>
      <c r="N79" s="195">
        <v>0</v>
      </c>
      <c r="O79" s="195">
        <v>0</v>
      </c>
      <c r="P79" s="195">
        <v>0</v>
      </c>
      <c r="Q79" s="195">
        <v>0</v>
      </c>
      <c r="R79" s="195">
        <v>0</v>
      </c>
      <c r="S79" s="196">
        <v>0</v>
      </c>
      <c r="T79" s="196">
        <v>0</v>
      </c>
      <c r="U79" s="197"/>
      <c r="V79" s="198"/>
      <c r="W79" s="20"/>
      <c r="BC79">
        <f>A79</f>
        <v>0</v>
      </c>
      <c r="BD79">
        <f t="shared" si="10"/>
        <v>0</v>
      </c>
      <c r="BJ79">
        <f>IF(BO79&gt;0,"In","")</f>
      </c>
      <c r="BK79" s="41">
        <f>IF(BJ79="In",BO79,"")</f>
      </c>
      <c r="BL79">
        <f>IF(BJ79="In",RANK(BK79,BK$7:BK$86,1),"")</f>
      </c>
      <c r="BM79">
        <f t="shared" si="11"/>
      </c>
      <c r="BN79">
        <f t="shared" si="12"/>
        <v>79</v>
      </c>
      <c r="BO79" s="41">
        <f t="shared" si="13"/>
        <v>0</v>
      </c>
      <c r="BP79">
        <f>BO80</f>
      </c>
      <c r="BQ79">
        <f>IF($BJ79="In",A79,"")</f>
      </c>
      <c r="BR79">
        <f>IF($BJ79="In",B79,"")</f>
      </c>
    </row>
    <row r="80" spans="1:67" ht="13.5" thickBot="1">
      <c r="A80" s="58" t="str">
        <f>CONCATENATE(A79,C80)</f>
        <v>Points</v>
      </c>
      <c r="B80" s="55"/>
      <c r="C80" s="54" t="s">
        <v>37</v>
      </c>
      <c r="D80" s="56">
        <f>IF(D79&gt;0,VLOOKUP(CONCATENATE($C$2,$B79),'Base Calculation'!$A$5:$O$89,D$5+2,FALSE)/D79*100,"")</f>
      </c>
      <c r="E80" s="56">
        <f>IF(E79&gt;0,VLOOKUP(CONCATENATE($C$2,$B79),'Base Calculation'!$A$5:$O$89,E$5+2,FALSE)/E79*100,"")</f>
      </c>
      <c r="F80" s="56">
        <f>IF(F79&gt;0,VLOOKUP(CONCATENATE($C$2,$B79),'Base Calculation'!$A$5:$O$89,F$5+2,FALSE)/F79*100,"")</f>
      </c>
      <c r="G80" s="56">
        <f>IF(G79&gt;0,VLOOKUP(CONCATENATE($C$2,$B79),'Base Calculation'!$A$5:$O$89,G$5+2,FALSE)/G79*100,"")</f>
      </c>
      <c r="H80" s="56">
        <f>IF(H79&gt;0,VLOOKUP(CONCATENATE($C$2,$B79),'Base Calculation'!$A$5:$O$89,H$5+2,FALSE)/H79*100,"")</f>
      </c>
      <c r="I80" s="56">
        <f>IF(I79&gt;0,VLOOKUP(CONCATENATE($C$2,$B79),'Base Calculation'!$A$5:$O$89,I$5+2,FALSE)/I79*100,"")</f>
      </c>
      <c r="J80" s="56">
        <f>IF(J79&gt;0,VLOOKUP(CONCATENATE($C$2,$B79),'Base Calculation'!$A$5:$O$89,J$5+2,FALSE)/J79*100,"")</f>
      </c>
      <c r="K80" s="56">
        <f>IF(K79&gt;0,VLOOKUP(CONCATENATE($C$2,$B79),'Base Calculation'!$A$5:$O$89,K$5+2,FALSE)/K79*100,"")</f>
      </c>
      <c r="L80" s="56">
        <f>IF(L79&gt;0,VLOOKUP(CONCATENATE($C$2,$B79),'Base Calculation'!$A$5:$O$89,L$5+2,FALSE)/L79*100,"")</f>
      </c>
      <c r="M80" s="56">
        <f>IF(M79&gt;0,VLOOKUP(CONCATENATE($C$2,$B79),'Base Calculation'!$A$5:$O$89,M$5+2,FALSE)/M79*100,"")</f>
      </c>
      <c r="N80" s="56">
        <f>IF(N79&gt;0,VLOOKUP(CONCATENATE($C$2,$B79),'Base Calculation'!$A$5:$O$89,N$5+2,FALSE)/N79*100,"")</f>
      </c>
      <c r="O80" s="56">
        <f>IF(O79&gt;0,VLOOKUP(CONCATENATE($C$2,$B79),'Base Calculation'!$A$5:$O$89,O$5+2,FALSE)/O79*100,"")</f>
      </c>
      <c r="P80" s="56">
        <f>IF(P79&gt;0,VLOOKUP(CONCATENATE($C$2,$B79),'Base Calculation'!$A$5:$O$89,P$5+2,FALSE)/P79*100,"")</f>
      </c>
      <c r="Q80" s="56">
        <f>IF(Q79&gt;0,VLOOKUP(CONCATENATE($C$2,$B79),'Base Calculation'!$A$5:$O$89,Q$5+2,FALSE)/Q79*100,"")</f>
      </c>
      <c r="R80" s="56">
        <f>IF(R79&gt;0,VLOOKUP(CONCATENATE($C$2,$B79),'Base Calculation'!$A$5:$O$89,R$5+2,FALSE)/R79*100,"")</f>
      </c>
      <c r="S80" s="56">
        <f>IF(S79&gt;0,VLOOKUP(CONCATENATE($C$2,$B79),'Base Calculation'!$A$5:$O$89,S$5+2,FALSE)/S79*100,"")</f>
      </c>
      <c r="T80" s="82">
        <f>IF(T79&gt;0,VLOOKUP(CONCATENATE($C$2,$B79),'Base Calculation'!$A$5:$O$89,U79+2,FALSE)/T79*100,"")</f>
      </c>
      <c r="U80" s="86">
        <f>IF(U79&gt;0,VLOOKUP(U79,BF$2:BG$14,2,FALSE),"")</f>
      </c>
      <c r="V80" s="87">
        <f>V79</f>
        <v>0</v>
      </c>
      <c r="W80" s="20"/>
      <c r="AP80">
        <f>17-COUNTIF(D80:T80,"")</f>
        <v>0</v>
      </c>
      <c r="AQ80" t="str">
        <f>CONCATENATE($C$2,BB80)</f>
        <v>Female</v>
      </c>
      <c r="AS80" s="25">
        <f>SUM(D80:H80)</f>
        <v>0</v>
      </c>
      <c r="AT80" s="25">
        <f>SUM(I80:M80)</f>
        <v>0</v>
      </c>
      <c r="AU80" s="25">
        <f>SUM(N80:S80)</f>
        <v>0</v>
      </c>
      <c r="AV80" s="25">
        <f>IF($AS80&gt;0,LARGE(D80:H80,1),0)</f>
        <v>0</v>
      </c>
      <c r="AW80" s="25">
        <f>IF($AT80&gt;0,LARGE(I80:M80,1),0)</f>
        <v>0</v>
      </c>
      <c r="AX80" s="25">
        <f>IF($AU80&gt;0,LARGE(N80:S80,1),0)</f>
        <v>0</v>
      </c>
      <c r="AY80" s="25">
        <f>IF('League Summary'!$X$2=1,T80,"")</f>
      </c>
      <c r="AZ80" s="25">
        <f>SUM(AV80:AY80)</f>
        <v>0</v>
      </c>
      <c r="BA80" t="str">
        <f>IF(AND(AV80&gt;0,AW80&gt;0,AX80&gt;0,(AP80&gt;=4)),"Q","NQ")</f>
        <v>NQ</v>
      </c>
      <c r="BB80">
        <f>IF(AZ80&gt;0,RANK(AZ80,AZ$8:AZ$86,0),"")</f>
      </c>
      <c r="BC80">
        <f>A79</f>
        <v>0</v>
      </c>
      <c r="BD80">
        <f t="shared" si="10"/>
        <v>0</v>
      </c>
      <c r="BK80" s="41">
        <f>IF(BJ80="In",BO80,"")</f>
      </c>
      <c r="BL80">
        <f>IF(BJ80="In",RANK(BK80,BK$7:BK$86,1),"")</f>
      </c>
      <c r="BM80">
        <f t="shared" si="11"/>
      </c>
      <c r="BN80">
        <f t="shared" si="12"/>
        <v>80</v>
      </c>
      <c r="BO80" s="108">
        <f t="shared" si="13"/>
      </c>
    </row>
    <row r="81" spans="1:70" ht="12.75">
      <c r="A81" s="192"/>
      <c r="B81" s="193"/>
      <c r="C81" s="194" t="s">
        <v>36</v>
      </c>
      <c r="D81" s="195">
        <v>0</v>
      </c>
      <c r="E81" s="195">
        <v>0</v>
      </c>
      <c r="F81" s="195">
        <v>0</v>
      </c>
      <c r="G81" s="195">
        <v>0</v>
      </c>
      <c r="H81" s="195">
        <v>0</v>
      </c>
      <c r="I81" s="195">
        <v>0</v>
      </c>
      <c r="J81" s="195">
        <v>0</v>
      </c>
      <c r="K81" s="195">
        <v>0</v>
      </c>
      <c r="L81" s="195">
        <v>0</v>
      </c>
      <c r="M81" s="195">
        <v>0</v>
      </c>
      <c r="N81" s="195">
        <v>0</v>
      </c>
      <c r="O81" s="195">
        <v>0</v>
      </c>
      <c r="P81" s="195">
        <v>0</v>
      </c>
      <c r="Q81" s="195">
        <v>0</v>
      </c>
      <c r="R81" s="195">
        <v>0</v>
      </c>
      <c r="S81" s="196">
        <v>0</v>
      </c>
      <c r="T81" s="196">
        <v>0</v>
      </c>
      <c r="U81" s="197"/>
      <c r="V81" s="198"/>
      <c r="W81" s="20"/>
      <c r="BC81">
        <f>A81</f>
        <v>0</v>
      </c>
      <c r="BD81">
        <f t="shared" si="10"/>
        <v>0</v>
      </c>
      <c r="BJ81">
        <f>IF(BO81&gt;0,"In","")</f>
      </c>
      <c r="BK81" s="41">
        <f>IF(BJ81="In",BO81,"")</f>
      </c>
      <c r="BL81">
        <f>IF(BJ81="In",RANK(BK81,BK$7:BK$86,1),"")</f>
      </c>
      <c r="BM81">
        <f t="shared" si="11"/>
      </c>
      <c r="BN81">
        <f t="shared" si="12"/>
        <v>81</v>
      </c>
      <c r="BO81" s="41">
        <f t="shared" si="13"/>
        <v>0</v>
      </c>
      <c r="BP81">
        <f>BO82</f>
      </c>
      <c r="BQ81">
        <f>IF($BJ81="In",A81,"")</f>
      </c>
      <c r="BR81">
        <f>IF($BJ81="In",B81,"")</f>
      </c>
    </row>
    <row r="82" spans="1:67" ht="13.5" thickBot="1">
      <c r="A82" s="58" t="str">
        <f>CONCATENATE(A81,C82)</f>
        <v>Points</v>
      </c>
      <c r="B82" s="55"/>
      <c r="C82" s="54" t="s">
        <v>37</v>
      </c>
      <c r="D82" s="56">
        <f>IF(D81&gt;0,VLOOKUP(CONCATENATE($C$2,$B81),'Base Calculation'!$A$5:$O$89,D$5+2,FALSE)/D81*100,"")</f>
      </c>
      <c r="E82" s="56">
        <f>IF(E81&gt;0,VLOOKUP(CONCATENATE($C$2,$B81),'Base Calculation'!$A$5:$O$89,E$5+2,FALSE)/E81*100,"")</f>
      </c>
      <c r="F82" s="56">
        <f>IF(F81&gt;0,VLOOKUP(CONCATENATE($C$2,$B81),'Base Calculation'!$A$5:$O$89,F$5+2,FALSE)/F81*100,"")</f>
      </c>
      <c r="G82" s="56">
        <f>IF(G81&gt;0,VLOOKUP(CONCATENATE($C$2,$B81),'Base Calculation'!$A$5:$O$89,G$5+2,FALSE)/G81*100,"")</f>
      </c>
      <c r="H82" s="56">
        <f>IF(H81&gt;0,VLOOKUP(CONCATENATE($C$2,$B81),'Base Calculation'!$A$5:$O$89,H$5+2,FALSE)/H81*100,"")</f>
      </c>
      <c r="I82" s="56">
        <f>IF(I81&gt;0,VLOOKUP(CONCATENATE($C$2,$B81),'Base Calculation'!$A$5:$O$89,I$5+2,FALSE)/I81*100,"")</f>
      </c>
      <c r="J82" s="56">
        <f>IF(J81&gt;0,VLOOKUP(CONCATENATE($C$2,$B81),'Base Calculation'!$A$5:$O$89,J$5+2,FALSE)/J81*100,"")</f>
      </c>
      <c r="K82" s="56">
        <f>IF(K81&gt;0,VLOOKUP(CONCATENATE($C$2,$B81),'Base Calculation'!$A$5:$O$89,K$5+2,FALSE)/K81*100,"")</f>
      </c>
      <c r="L82" s="56">
        <f>IF(L81&gt;0,VLOOKUP(CONCATENATE($C$2,$B81),'Base Calculation'!$A$5:$O$89,L$5+2,FALSE)/L81*100,"")</f>
      </c>
      <c r="M82" s="56">
        <f>IF(M81&gt;0,VLOOKUP(CONCATENATE($C$2,$B81),'Base Calculation'!$A$5:$O$89,M$5+2,FALSE)/M81*100,"")</f>
      </c>
      <c r="N82" s="56">
        <f>IF(N81&gt;0,VLOOKUP(CONCATENATE($C$2,$B81),'Base Calculation'!$A$5:$O$89,N$5+2,FALSE)/N81*100,"")</f>
      </c>
      <c r="O82" s="56">
        <f>IF(O81&gt;0,VLOOKUP(CONCATENATE($C$2,$B81),'Base Calculation'!$A$5:$O$89,O$5+2,FALSE)/O81*100,"")</f>
      </c>
      <c r="P82" s="56">
        <f>IF(P81&gt;0,VLOOKUP(CONCATENATE($C$2,$B81),'Base Calculation'!$A$5:$O$89,P$5+2,FALSE)/P81*100,"")</f>
      </c>
      <c r="Q82" s="56">
        <f>IF(Q81&gt;0,VLOOKUP(CONCATENATE($C$2,$B81),'Base Calculation'!$A$5:$O$89,Q$5+2,FALSE)/Q81*100,"")</f>
      </c>
      <c r="R82" s="56">
        <f>IF(R81&gt;0,VLOOKUP(CONCATENATE($C$2,$B81),'Base Calculation'!$A$5:$O$89,R$5+2,FALSE)/R81*100,"")</f>
      </c>
      <c r="S82" s="56">
        <f>IF(S81&gt;0,VLOOKUP(CONCATENATE($C$2,$B81),'Base Calculation'!$A$5:$O$89,S$5+2,FALSE)/S81*100,"")</f>
      </c>
      <c r="T82" s="82">
        <f>IF(T81&gt;0,VLOOKUP(CONCATENATE($C$2,$B81),'Base Calculation'!$A$5:$O$89,U81+2,FALSE)/T81*100,"")</f>
      </c>
      <c r="U82" s="86">
        <f>IF(U81&gt;0,VLOOKUP(U81,BF$2:BG$14,2,FALSE),"")</f>
      </c>
      <c r="V82" s="87">
        <f>V81</f>
        <v>0</v>
      </c>
      <c r="W82" s="20"/>
      <c r="AP82">
        <f>17-COUNTIF(D82:T82,"")</f>
        <v>0</v>
      </c>
      <c r="AQ82" t="str">
        <f>CONCATENATE($C$2,BB82)</f>
        <v>Female</v>
      </c>
      <c r="AS82" s="25">
        <f>SUM(D82:H82)</f>
        <v>0</v>
      </c>
      <c r="AT82" s="25">
        <f>SUM(I82:M82)</f>
        <v>0</v>
      </c>
      <c r="AU82" s="25">
        <f>SUM(N82:S82)</f>
        <v>0</v>
      </c>
      <c r="AV82" s="25">
        <f>IF($AS82&gt;0,LARGE(D82:H82,1),0)</f>
        <v>0</v>
      </c>
      <c r="AW82" s="25">
        <f>IF($AT82&gt;0,LARGE(I82:M82,1),0)</f>
        <v>0</v>
      </c>
      <c r="AX82" s="25">
        <f>IF($AU82&gt;0,LARGE(N82:S82,1),0)</f>
        <v>0</v>
      </c>
      <c r="AY82" s="25">
        <f>IF('League Summary'!$X$2=1,T82,"")</f>
      </c>
      <c r="AZ82" s="25">
        <f>SUM(AV82:AY82)</f>
        <v>0</v>
      </c>
      <c r="BA82" t="str">
        <f>IF(AND(AV82&gt;0,AW82&gt;0,AX82&gt;0,(AP82&gt;=4)),"Q","NQ")</f>
        <v>NQ</v>
      </c>
      <c r="BB82">
        <f>IF(AZ82&gt;0,RANK(AZ82,AZ$8:AZ$86,0),"")</f>
      </c>
      <c r="BC82">
        <f>A81</f>
        <v>0</v>
      </c>
      <c r="BD82">
        <f t="shared" si="10"/>
        <v>0</v>
      </c>
      <c r="BM82">
        <f t="shared" si="11"/>
      </c>
      <c r="BN82">
        <f t="shared" si="12"/>
        <v>82</v>
      </c>
      <c r="BO82" s="108">
        <f t="shared" si="13"/>
      </c>
    </row>
    <row r="83" spans="1:70" ht="13.5" thickBot="1">
      <c r="A83" s="192"/>
      <c r="B83" s="193"/>
      <c r="C83" s="194" t="s">
        <v>36</v>
      </c>
      <c r="D83" s="195">
        <v>0</v>
      </c>
      <c r="E83" s="195">
        <v>0</v>
      </c>
      <c r="F83" s="195">
        <v>0</v>
      </c>
      <c r="G83" s="195">
        <v>0</v>
      </c>
      <c r="H83" s="195">
        <v>0</v>
      </c>
      <c r="I83" s="195">
        <v>0</v>
      </c>
      <c r="J83" s="195">
        <v>0</v>
      </c>
      <c r="K83" s="195">
        <v>0</v>
      </c>
      <c r="L83" s="195">
        <v>0</v>
      </c>
      <c r="M83" s="195">
        <v>0</v>
      </c>
      <c r="N83" s="195">
        <v>0</v>
      </c>
      <c r="O83" s="195">
        <v>0</v>
      </c>
      <c r="P83" s="195">
        <v>0</v>
      </c>
      <c r="Q83" s="195">
        <v>0</v>
      </c>
      <c r="R83" s="195">
        <v>0</v>
      </c>
      <c r="S83" s="196">
        <v>0</v>
      </c>
      <c r="T83" s="196">
        <v>0</v>
      </c>
      <c r="U83" s="197"/>
      <c r="V83" s="198"/>
      <c r="W83" s="20"/>
      <c r="BC83">
        <f>A83</f>
        <v>0</v>
      </c>
      <c r="BD83">
        <f t="shared" si="10"/>
        <v>0</v>
      </c>
      <c r="BJ83">
        <f>IF(BO83&gt;0,"In","")</f>
      </c>
      <c r="BK83" s="41">
        <f>IF(BJ83="In",BO83,"")</f>
      </c>
      <c r="BL83">
        <f>IF(BJ83="In",RANK(BK83,BK$7:BK$86,1),"")</f>
      </c>
      <c r="BM83">
        <f t="shared" si="11"/>
      </c>
      <c r="BN83">
        <f t="shared" si="12"/>
        <v>83</v>
      </c>
      <c r="BO83" s="41">
        <f t="shared" si="13"/>
        <v>0</v>
      </c>
      <c r="BP83">
        <f>BO84</f>
      </c>
      <c r="BQ83">
        <f>IF($BJ83="In",A83,"")</f>
      </c>
      <c r="BR83">
        <f>IF($BJ83="In",B83,"")</f>
      </c>
    </row>
    <row r="84" spans="1:67" ht="13.5" thickBot="1">
      <c r="A84" s="58" t="str">
        <f>CONCATENATE(A83,C84)</f>
        <v>Points</v>
      </c>
      <c r="B84" s="55"/>
      <c r="C84" s="54" t="s">
        <v>37</v>
      </c>
      <c r="D84" s="56">
        <f>IF(D83&gt;0,VLOOKUP(CONCATENATE($C$2,$B83),'Base Calculation'!$A$5:$O$89,D$5+2,FALSE)/D83*100,"")</f>
      </c>
      <c r="E84" s="56">
        <f>IF(E83&gt;0,VLOOKUP(CONCATENATE($C$2,$B83),'Base Calculation'!$A$5:$O$89,E$5+2,FALSE)/E83*100,"")</f>
      </c>
      <c r="F84" s="56">
        <f>IF(F83&gt;0,VLOOKUP(CONCATENATE($C$2,$B83),'Base Calculation'!$A$5:$O$89,F$5+2,FALSE)/F83*100,"")</f>
      </c>
      <c r="G84" s="56">
        <f>IF(G83&gt;0,VLOOKUP(CONCATENATE($C$2,$B83),'Base Calculation'!$A$5:$O$89,G$5+2,FALSE)/G83*100,"")</f>
      </c>
      <c r="H84" s="56">
        <f>IF(H83&gt;0,VLOOKUP(CONCATENATE($C$2,$B83),'Base Calculation'!$A$5:$O$89,H$5+2,FALSE)/H83*100,"")</f>
      </c>
      <c r="I84" s="56">
        <f>IF(I83&gt;0,VLOOKUP(CONCATENATE($C$2,$B83),'Base Calculation'!$A$5:$O$89,I$5+2,FALSE)/I83*100,"")</f>
      </c>
      <c r="J84" s="56">
        <f>IF(J83&gt;0,VLOOKUP(CONCATENATE($C$2,$B83),'Base Calculation'!$A$5:$O$89,J$5+2,FALSE)/J83*100,"")</f>
      </c>
      <c r="K84" s="56">
        <f>IF(K83&gt;0,VLOOKUP(CONCATENATE($C$2,$B83),'Base Calculation'!$A$5:$O$89,K$5+2,FALSE)/K83*100,"")</f>
      </c>
      <c r="L84" s="56">
        <f>IF(L83&gt;0,VLOOKUP(CONCATENATE($C$2,$B83),'Base Calculation'!$A$5:$O$89,L$5+2,FALSE)/L83*100,"")</f>
      </c>
      <c r="M84" s="56">
        <f>IF(M83&gt;0,VLOOKUP(CONCATENATE($C$2,$B83),'Base Calculation'!$A$5:$O$89,M$5+2,FALSE)/M83*100,"")</f>
      </c>
      <c r="N84" s="56">
        <f>IF(N83&gt;0,VLOOKUP(CONCATENATE($C$2,$B83),'Base Calculation'!$A$5:$O$89,N$5+2,FALSE)/N83*100,"")</f>
      </c>
      <c r="O84" s="56">
        <f>IF(O83&gt;0,VLOOKUP(CONCATENATE($C$2,$B83),'Base Calculation'!$A$5:$O$89,O$5+2,FALSE)/O83*100,"")</f>
      </c>
      <c r="P84" s="56">
        <f>IF(P83&gt;0,VLOOKUP(CONCATENATE($C$2,$B83),'Base Calculation'!$A$5:$O$89,P$5+2,FALSE)/P83*100,"")</f>
      </c>
      <c r="Q84" s="56">
        <f>IF(Q83&gt;0,VLOOKUP(CONCATENATE($C$2,$B83),'Base Calculation'!$A$5:$O$89,Q$5+2,FALSE)/Q83*100,"")</f>
      </c>
      <c r="R84" s="56">
        <f>IF(R83&gt;0,VLOOKUP(CONCATENATE($C$2,$B83),'Base Calculation'!$A$5:$O$89,R$5+2,FALSE)/R83*100,"")</f>
      </c>
      <c r="S84" s="56">
        <f>IF(S83&gt;0,VLOOKUP(CONCATENATE($C$2,$B83),'Base Calculation'!$A$5:$O$89,S$5+2,FALSE)/S83*100,"")</f>
      </c>
      <c r="T84" s="82">
        <f>IF(T83&gt;0,VLOOKUP(CONCATENATE($C$2,$B83),'Base Calculation'!$A$5:$O$89,U83+2,FALSE)/T83*100,"")</f>
      </c>
      <c r="U84" s="86">
        <f>IF(U83&gt;0,VLOOKUP(U83,BF$2:BG$14,2,FALSE),"")</f>
      </c>
      <c r="V84" s="87">
        <f>V83</f>
        <v>0</v>
      </c>
      <c r="W84" s="20"/>
      <c r="AP84">
        <f>17-COUNTIF(D84:T84,"")</f>
        <v>0</v>
      </c>
      <c r="AQ84" t="str">
        <f>CONCATENATE($C$2,BB84)</f>
        <v>Female</v>
      </c>
      <c r="AS84" s="25">
        <f>SUM(D84:H84)</f>
        <v>0</v>
      </c>
      <c r="AT84" s="25">
        <f>SUM(I84:M84)</f>
        <v>0</v>
      </c>
      <c r="AU84" s="25">
        <f>SUM(N84:S84)</f>
        <v>0</v>
      </c>
      <c r="AV84" s="25">
        <f>IF($AS84&gt;0,LARGE(D84:H84,1),0)</f>
        <v>0</v>
      </c>
      <c r="AW84" s="25">
        <f>IF($AT84&gt;0,LARGE(I84:M84,1),0)</f>
        <v>0</v>
      </c>
      <c r="AX84" s="25">
        <f>IF($AU84&gt;0,LARGE(N84:S84,1),0)</f>
        <v>0</v>
      </c>
      <c r="AY84" s="25">
        <f>IF('League Summary'!$X$2=1,T84,"")</f>
      </c>
      <c r="AZ84" s="25">
        <f>SUM(AV84:AY84)</f>
        <v>0</v>
      </c>
      <c r="BA84" t="str">
        <f>IF(AND(AV84&gt;0,AW84&gt;0,AX84&gt;0,(AP84&gt;=4)),"Q","NQ")</f>
        <v>NQ</v>
      </c>
      <c r="BB84">
        <f>IF(AZ84&gt;0,RANK(AZ84,AZ$8:AZ$86,0),"")</f>
      </c>
      <c r="BC84">
        <f>A83</f>
        <v>0</v>
      </c>
      <c r="BD84">
        <f t="shared" si="10"/>
        <v>0</v>
      </c>
      <c r="BK84" s="41">
        <f>IF(BJ84="In",BO84,"")</f>
      </c>
      <c r="BL84">
        <f>IF(BJ84="In",RANK(BK84,BK$7:BK$86,1),"")</f>
      </c>
      <c r="BM84">
        <f t="shared" si="11"/>
      </c>
      <c r="BN84">
        <f t="shared" si="12"/>
        <v>84</v>
      </c>
      <c r="BO84" s="108">
        <f t="shared" si="13"/>
      </c>
    </row>
    <row r="85" spans="1:70" ht="12.75">
      <c r="A85" s="192"/>
      <c r="B85" s="193"/>
      <c r="C85" s="194" t="s">
        <v>36</v>
      </c>
      <c r="D85" s="195">
        <v>0</v>
      </c>
      <c r="E85" s="195">
        <v>0</v>
      </c>
      <c r="F85" s="195">
        <v>0</v>
      </c>
      <c r="G85" s="195">
        <v>0</v>
      </c>
      <c r="H85" s="195">
        <v>0</v>
      </c>
      <c r="I85" s="195">
        <v>0</v>
      </c>
      <c r="J85" s="195">
        <v>0</v>
      </c>
      <c r="K85" s="195">
        <v>0</v>
      </c>
      <c r="L85" s="195">
        <v>0</v>
      </c>
      <c r="M85" s="195">
        <v>0</v>
      </c>
      <c r="N85" s="195">
        <v>0</v>
      </c>
      <c r="O85" s="195">
        <v>0</v>
      </c>
      <c r="P85" s="195">
        <v>0</v>
      </c>
      <c r="Q85" s="195">
        <v>0</v>
      </c>
      <c r="R85" s="195">
        <v>0</v>
      </c>
      <c r="S85" s="196">
        <v>0</v>
      </c>
      <c r="T85" s="196">
        <v>0</v>
      </c>
      <c r="U85" s="197"/>
      <c r="V85" s="198"/>
      <c r="W85" s="20"/>
      <c r="BC85">
        <f>A85</f>
        <v>0</v>
      </c>
      <c r="BD85">
        <f t="shared" si="10"/>
        <v>0</v>
      </c>
      <c r="BJ85">
        <f>IF(BO85&gt;0,"In","")</f>
      </c>
      <c r="BK85" s="41">
        <f>IF(BJ85="In",BO85,"")</f>
      </c>
      <c r="BL85">
        <f>IF(BJ85="In",RANK(BK85,BK$7:BK$86,1),"")</f>
      </c>
      <c r="BM85">
        <f t="shared" si="11"/>
      </c>
      <c r="BN85">
        <f t="shared" si="12"/>
        <v>85</v>
      </c>
      <c r="BO85" s="41">
        <f t="shared" si="13"/>
        <v>0</v>
      </c>
      <c r="BP85">
        <f>BO86</f>
      </c>
      <c r="BQ85">
        <f>IF($BJ85="In",A85,"")</f>
      </c>
      <c r="BR85">
        <f>IF($BJ85="In",B85,"")</f>
      </c>
    </row>
    <row r="86" spans="1:67" ht="13.5" thickBot="1">
      <c r="A86" s="58" t="str">
        <f>CONCATENATE(A85,C86)</f>
        <v>Points</v>
      </c>
      <c r="B86" s="55"/>
      <c r="C86" s="54" t="s">
        <v>37</v>
      </c>
      <c r="D86" s="56">
        <f>IF(D85&gt;0,VLOOKUP(CONCATENATE($C$2,$B85),'Base Calculation'!$A$5:$O$89,D$5+2,FALSE)/D85*100,"")</f>
      </c>
      <c r="E86" s="56">
        <f>IF(E85&gt;0,VLOOKUP(CONCATENATE($C$2,$B85),'Base Calculation'!$A$5:$O$89,E$5+2,FALSE)/E85*100,"")</f>
      </c>
      <c r="F86" s="56">
        <f>IF(F85&gt;0,VLOOKUP(CONCATENATE($C$2,$B85),'Base Calculation'!$A$5:$O$89,F$5+2,FALSE)/F85*100,"")</f>
      </c>
      <c r="G86" s="56">
        <f>IF(G85&gt;0,VLOOKUP(CONCATENATE($C$2,$B85),'Base Calculation'!$A$5:$O$89,G$5+2,FALSE)/G85*100,"")</f>
      </c>
      <c r="H86" s="56">
        <f>IF(H85&gt;0,VLOOKUP(CONCATENATE($C$2,$B85),'Base Calculation'!$A$5:$O$89,H$5+2,FALSE)/H85*100,"")</f>
      </c>
      <c r="I86" s="56">
        <f>IF(I85&gt;0,VLOOKUP(CONCATENATE($C$2,$B85),'Base Calculation'!$A$5:$O$89,I$5+2,FALSE)/I85*100,"")</f>
      </c>
      <c r="J86" s="56">
        <f>IF(J85&gt;0,VLOOKUP(CONCATENATE($C$2,$B85),'Base Calculation'!$A$5:$O$89,J$5+2,FALSE)/J85*100,"")</f>
      </c>
      <c r="K86" s="56">
        <f>IF(K85&gt;0,VLOOKUP(CONCATENATE($C$2,$B85),'Base Calculation'!$A$5:$O$89,K$5+2,FALSE)/K85*100,"")</f>
      </c>
      <c r="L86" s="56">
        <f>IF(L85&gt;0,VLOOKUP(CONCATENATE($C$2,$B85),'Base Calculation'!$A$5:$O$89,L$5+2,FALSE)/L85*100,"")</f>
      </c>
      <c r="M86" s="56">
        <f>IF(M85&gt;0,VLOOKUP(CONCATENATE($C$2,$B85),'Base Calculation'!$A$5:$O$89,M$5+2,FALSE)/M85*100,"")</f>
      </c>
      <c r="N86" s="56">
        <f>IF(N85&gt;0,VLOOKUP(CONCATENATE($C$2,$B85),'Base Calculation'!$A$5:$O$89,N$5+2,FALSE)/N85*100,"")</f>
      </c>
      <c r="O86" s="56">
        <f>IF(O85&gt;0,VLOOKUP(CONCATENATE($C$2,$B85),'Base Calculation'!$A$5:$O$89,O$5+2,FALSE)/O85*100,"")</f>
      </c>
      <c r="P86" s="56">
        <f>IF(P85&gt;0,VLOOKUP(CONCATENATE($C$2,$B85),'Base Calculation'!$A$5:$O$89,P$5+2,FALSE)/P85*100,"")</f>
      </c>
      <c r="Q86" s="56">
        <f>IF(Q85&gt;0,VLOOKUP(CONCATENATE($C$2,$B85),'Base Calculation'!$A$5:$O$89,Q$5+2,FALSE)/Q85*100,"")</f>
      </c>
      <c r="R86" s="56">
        <f>IF(R85&gt;0,VLOOKUP(CONCATENATE($C$2,$B85),'Base Calculation'!$A$5:$O$89,R$5+2,FALSE)/R85*100,"")</f>
      </c>
      <c r="S86" s="56">
        <f>IF(S85&gt;0,VLOOKUP(CONCATENATE($C$2,$B85),'Base Calculation'!$A$5:$O$89,S$5+2,FALSE)/S85*100,"")</f>
      </c>
      <c r="T86" s="82">
        <f>IF(T85&gt;0,VLOOKUP(CONCATENATE($C$2,$B85),'Base Calculation'!$A$5:$O$89,U85+2,FALSE)/T85*100,"")</f>
      </c>
      <c r="U86" s="86">
        <f>IF(U85&gt;0,VLOOKUP(U85,BF$2:BG$14,2,FALSE),"")</f>
      </c>
      <c r="V86" s="87">
        <f>V85</f>
        <v>0</v>
      </c>
      <c r="W86" s="20"/>
      <c r="AP86">
        <f>17-COUNTIF(D86:T86,"")</f>
        <v>0</v>
      </c>
      <c r="AQ86" t="str">
        <f>CONCATENATE($C$2,BB86)</f>
        <v>Female</v>
      </c>
      <c r="AS86" s="25">
        <f>SUM(D86:H86)</f>
        <v>0</v>
      </c>
      <c r="AT86" s="25">
        <f>SUM(I86:M86)</f>
        <v>0</v>
      </c>
      <c r="AU86" s="25">
        <f>SUM(N86:S86)</f>
        <v>0</v>
      </c>
      <c r="AV86" s="25">
        <f>IF($AS86&gt;0,LARGE(D86:H86,1),0)</f>
        <v>0</v>
      </c>
      <c r="AW86" s="25">
        <f>IF($AT86&gt;0,LARGE(I86:M86,1),0)</f>
        <v>0</v>
      </c>
      <c r="AX86" s="25">
        <f>IF($AU86&gt;0,LARGE(N86:S86,1),0)</f>
        <v>0</v>
      </c>
      <c r="AY86" s="25">
        <f>IF('League Summary'!$X$2=1,T86,"")</f>
      </c>
      <c r="AZ86" s="25">
        <f>SUM(AV86:AY86)</f>
        <v>0</v>
      </c>
      <c r="BA86" t="str">
        <f>IF(AND(AV86&gt;0,AW86&gt;0,AX86&gt;0,(AP86&gt;=4)),"Q","NQ")</f>
        <v>NQ</v>
      </c>
      <c r="BB86">
        <f>IF(AZ86&gt;0,RANK(AZ86,AZ$8:AZ$86,0),"")</f>
      </c>
      <c r="BC86">
        <f>A85</f>
        <v>0</v>
      </c>
      <c r="BD86">
        <f t="shared" si="10"/>
        <v>0</v>
      </c>
      <c r="BM86">
        <f t="shared" si="11"/>
      </c>
      <c r="BN86">
        <f t="shared" si="12"/>
        <v>86</v>
      </c>
      <c r="BO86" s="108">
        <f t="shared" si="13"/>
      </c>
    </row>
    <row r="88" ht="12.75">
      <c r="AY88" s="25"/>
    </row>
    <row r="90" ht="12.75">
      <c r="AY90" s="25"/>
    </row>
    <row r="92" ht="12.75">
      <c r="AY92" s="25"/>
    </row>
    <row r="94" ht="12.75">
      <c r="AY94" s="25">
        <f>IF('League Summary'!X88=1,T94,"")</f>
      </c>
    </row>
    <row r="100" spans="1:54" ht="12.75">
      <c r="A100" s="262" t="s">
        <v>66</v>
      </c>
      <c r="B100" s="262"/>
      <c r="C100" s="262"/>
      <c r="D100" s="25">
        <f>LARGE((D$8,D$10,D$12,D$14,D$16,D$18,D$20,D$22,D$24,D$26,D$28,D$30,D$32,D$34,D$36,D$38,D$40,D$42,D$44,D$46,D$48,D$50,D$52,D$54,D$56,D$58,D$60,D$62,D$64,D$66),1)</f>
        <v>74.96689526210912</v>
      </c>
      <c r="E100" s="25">
        <f>LARGE((E$8,E$10,E$12,E$14,E$16,E$18,E$20,E$22,E$24,E$26,E$28,E$30,E$32,E$34,E$36,E$38,E$40,E$42,E$44,E$46,E$48,E$50,E$52,E$54,E$56,E$58,E$60,E$62,E$64,E$66),1)</f>
        <v>74.23311577835769</v>
      </c>
      <c r="F100" s="25">
        <f>LARGE((F$8,F$10,F$12,F$14,F$16,F$18,F$20,F$22,F$24,F$26,F$28,F$30,F$32,F$34,F$36,F$38,F$40,F$42,F$44,F$46,F$48,F$50,F$52,F$54,F$56,F$58,F$60,F$62,F$64,F$66),1)</f>
        <v>73.97641605137937</v>
      </c>
      <c r="G100" s="25">
        <f>LARGE((G$8,G$10,G$12,G$14,G$16,G$18,G$20,G$22,G$24,G$26,G$28,G$30,G$32,G$34,G$36,G$38,G$40,G$42,G$44,G$46,G$48,G$50,G$52,G$54,G$56,G$58,G$60,G$62,G$64,G$66),1)</f>
        <v>77.28325796907275</v>
      </c>
      <c r="H100" s="25">
        <f>LARGE((H$8,H$10,H$12,H$14,H$16,H$18,H$20,H$22,H$24,H$26,H$28,H$30,H$32,H$34,H$36,H$38,H$40,H$42,H$44,H$46,H$48,H$50,H$52,H$54,H$56,H$58,H$60,H$62,H$64,H$66),1)</f>
        <v>77.45615116363442</v>
      </c>
      <c r="I100" s="25">
        <f>LARGE((I$8,I$10,I$12,I$14,I$16,I$18,I$20,I$22,I$24,I$26,I$28,I$30,I$32,I$34,I$36,I$38,I$40,I$42,I$44,I$46,I$48,I$50,I$52,I$54,I$56,I$58,I$60,I$62,I$64,I$66),1)</f>
        <v>72.26600985221675</v>
      </c>
      <c r="J100" s="25">
        <f>LARGE((J$8,J$10,J$12,J$14,J$16,J$18,J$20,J$22,J$24,J$26,J$28,J$30,J$32,J$34,J$36,J$38,J$40,J$42,J$44,J$46,J$48,J$50,J$52,J$54,J$56,J$58,J$60,J$62,J$64,J$66),1)</f>
        <v>74.69587378849054</v>
      </c>
      <c r="K100" s="25">
        <f>LARGE((K$8,K$10,K$12,K$14,K$16,K$18,K$20,K$22,K$24,K$26,K$28,K$30,K$32,K$34,K$36,K$38,K$40,K$42,K$44,K$46,K$48,K$50,K$52,K$54,K$56,K$58,K$60,K$62,K$64,K$66),1)</f>
        <v>73.22331223569958</v>
      </c>
      <c r="L100" s="25">
        <f>LARGE((L$8,L$10,L$12,L$14,L$16,L$18,L$20,L$22,L$24,L$26,L$28,L$30,L$32,L$34,L$36,L$38,L$40,L$42,L$44,L$46,L$48,L$50,L$52,L$54,L$56,L$58,L$60,L$62,L$64,L$66),1)</f>
        <v>81.16151140770131</v>
      </c>
      <c r="M100" s="25">
        <f>LARGE((M$8,M$10,M$12,M$14,M$16,M$18,M$20,M$22,M$24,M$26,M$28,M$30,M$32,M$34,M$36,M$38,M$40,M$42,M$44,M$46,M$48,M$50,M$52,M$54,M$56,M$58,M$60,M$62,M$64,M$66),1)</f>
        <v>75.11477809294756</v>
      </c>
      <c r="N100" s="25">
        <f>LARGE((N$8,N$10,N$12,N$14,N$16,N$18,N$20,N$22,N$24,N$26,N$28,N$30,N$32,N$34,N$36,N$38,N$40,N$42,N$44,N$46,N$48,N$50,N$52,N$54,N$56,N$58,N$60,N$62,N$64,N$66),1)</f>
        <v>71.99292108537368</v>
      </c>
      <c r="O100" s="25">
        <f>LARGE((O$8,O$10,O$12,O$14,O$16,O$18,O$20,O$22,O$24,O$26,O$28,O$30,O$32,O$34,O$36,O$38,O$40,O$42,O$44,O$46,O$48,O$50,O$52,O$54,O$56,O$58,O$60,O$62,O$64,O$66),1)</f>
        <v>67.22068912539534</v>
      </c>
      <c r="P100" s="25">
        <f>LARGE((P$8,P$10,P$12,P$14,P$16,P$18,P$20,P$22,P$24,P$26,P$28,P$30,P$32,P$34,P$36,P$38,P$40,P$42,P$44,P$46,P$48,P$50,P$52,P$54,P$56,P$58,P$60,P$62,P$64,P$66),1)</f>
        <v>67.43670727945977</v>
      </c>
      <c r="Q100" s="25">
        <f>LARGE((Q$8,Q$10,Q$12,Q$14,Q$16,Q$18,Q$20,Q$22,Q$24,Q$26,Q$28,Q$30,Q$32,Q$34,Q$36,Q$38,Q$40,Q$42,Q$44,Q$46,Q$48,Q$50,Q$52,Q$54,Q$56,Q$58,Q$60,Q$62,Q$64,Q$66),1)</f>
        <v>70.49882094372708</v>
      </c>
      <c r="R100" s="25">
        <f>LARGE((R$8,R$10,R$12,R$14,R$16,R$18,R$20,R$22,R$24,R$26,R$28,R$30,R$32,R$34,R$36,R$38,R$40,R$42,R$44,R$46,R$48,R$50,R$52,R$54,R$56,R$58,R$60,R$62,R$64,R$66),1)</f>
        <v>73.50448547960804</v>
      </c>
      <c r="S100" s="25">
        <f>LARGE((S$8,S$10,S$12,S$14,S$16,S$18,S$20,S$22,S$24,S$26,S$28,S$30,S$32,S$34,S$36,S$38,S$40,S$42,S$44,S$46,S$48,S$50,S$52,S$54,S$56,S$58,S$60,S$62,S$64,S$66),1)</f>
        <v>79.51851046667791</v>
      </c>
      <c r="AY100" s="260" t="s">
        <v>114</v>
      </c>
      <c r="AZ100" s="260"/>
      <c r="BA100" s="260"/>
      <c r="BB100" s="96">
        <f>LARGE((BB$8,BB$10,BB$12,BB$14,BB$16,BB$18,BB$20,BB$22,BB$24,BB$26,BB$28,BB$30,BB$32,BB$34,BB$36,BB$38,BB$40,BB$42,BB$44,BB$46,BB$48,BB$50,BB$52,BB$54,BB$56,BB$58,BB$60,BB$62,BB$64,BB$66),1)</f>
        <v>30</v>
      </c>
    </row>
    <row r="101" spans="1:19" ht="12.75">
      <c r="A101" s="262"/>
      <c r="B101" s="262"/>
      <c r="C101" s="262"/>
      <c r="D101" s="25">
        <f>LARGE((D$8,D$10,D$12,D$14,D$16,D$18,D$20,D$22,D$24,D$26,D$28,D$30,D$32,D$34,D$36,D$38,D$40,D$42,D$44,D$46,D$48,D$50,D$52,D$54,D$56,D$58,D$60,D$62,D$64,D$66),2)</f>
        <v>68.73545384018618</v>
      </c>
      <c r="E101" s="25">
        <f>LARGE((E$8,E$10,E$12,E$14,E$16,E$18,E$20,E$22,E$24,E$26,E$28,E$30,E$32,E$34,E$36,E$38,E$40,E$42,E$44,E$46,E$48,E$50,E$52,E$54,E$56,E$58,E$60,E$62,E$64,E$66),2)</f>
        <v>49.608062709966404</v>
      </c>
      <c r="F101" s="25">
        <f>LARGE((F$8,F$10,F$12,F$14,F$16,F$18,F$20,F$22,F$24,F$26,F$28,F$30,F$32,F$34,F$36,F$38,F$40,F$42,F$44,F$46,F$48,F$50,F$52,F$54,F$56,F$58,F$60,F$62,F$64,F$66),2)</f>
        <v>73.49869378055048</v>
      </c>
      <c r="G101" s="25">
        <f>LARGE((G$8,G$10,G$12,G$14,G$16,G$18,G$20,G$22,G$24,G$26,G$28,G$30,G$32,G$34,G$36,G$38,G$40,G$42,G$44,G$46,G$48,G$50,G$52,G$54,G$56,G$58,G$60,G$62,G$64,G$66),2)</f>
        <v>76.4934174219888</v>
      </c>
      <c r="H101" s="25">
        <f>LARGE((H$8,H$10,H$12,H$14,H$16,H$18,H$20,H$22,H$24,H$26,H$28,H$30,H$32,H$34,H$36,H$38,H$40,H$42,H$44,H$46,H$48,H$50,H$52,H$54,H$56,H$58,H$60,H$62,H$64,H$66),2)</f>
        <v>73.3150205761998</v>
      </c>
      <c r="I101" s="25" t="e">
        <f>LARGE((I$8,I$10,I$12,I$14,I$16,I$18,I$20,I$22,I$24,I$26,I$28,I$30,I$32,I$34,I$36,I$38,I$40,I$42,I$44,I$46,I$48,I$50,I$52,I$54,I$56,I$58,I$60,I$62,I$64,I$66),2)</f>
        <v>#NUM!</v>
      </c>
      <c r="J101" s="25">
        <f>LARGE((J$8,J$10,J$12,J$14,J$16,J$18,J$20,J$22,J$24,J$26,J$28,J$30,J$32,J$34,J$36,J$38,J$40,J$42,J$44,J$46,J$48,J$50,J$52,J$54,J$56,J$58,J$60,J$62,J$64,J$66),2)</f>
        <v>69.55304180411763</v>
      </c>
      <c r="K101" s="25">
        <f>LARGE((K$8,K$10,K$12,K$14,K$16,K$18,K$20,K$22,K$24,K$26,K$28,K$30,K$32,K$34,K$36,K$38,K$40,K$42,K$44,K$46,K$48,K$50,K$52,K$54,K$56,K$58,K$60,K$62,K$64,K$66),2)</f>
        <v>67.20588235294116</v>
      </c>
      <c r="L101" s="25">
        <f>LARGE((L$8,L$10,L$12,L$14,L$16,L$18,L$20,L$22,L$24,L$26,L$28,L$30,L$32,L$34,L$36,L$38,L$40,L$42,L$44,L$46,L$48,L$50,L$52,L$54,L$56,L$58,L$60,L$62,L$64,L$66),2)</f>
        <v>77.29632523680232</v>
      </c>
      <c r="M101" s="25">
        <f>LARGE((M$8,M$10,M$12,M$14,M$16,M$18,M$20,M$22,M$24,M$26,M$28,M$30,M$32,M$34,M$36,M$38,M$40,M$42,M$44,M$46,M$48,M$50,M$52,M$54,M$56,M$58,M$60,M$62,M$64,M$66),2)</f>
        <v>74.72635661960037</v>
      </c>
      <c r="N101" s="25">
        <f>LARGE((N$8,N$10,N$12,N$14,N$16,N$18,N$20,N$22,N$24,N$26,N$28,N$30,N$32,N$34,N$36,N$38,N$40,N$42,N$44,N$46,N$48,N$50,N$52,N$54,N$56,N$58,N$60,N$62,N$64,N$66),2)</f>
        <v>69.20942114497565</v>
      </c>
      <c r="O101" s="25">
        <f>LARGE((O$8,O$10,O$12,O$14,O$16,O$18,O$20,O$22,O$24,O$26,O$28,O$30,O$32,O$34,O$36,O$38,O$40,O$42,O$44,O$46,O$48,O$50,O$52,O$54,O$56,O$58,O$60,O$62,O$64,O$66),2)</f>
        <v>66.71762404335874</v>
      </c>
      <c r="P101" s="25" t="e">
        <f>LARGE((P$8,P$10,P$12,P$14,P$16,P$18,P$20,P$22,P$24,P$26,P$28,P$30,P$32,P$34,P$36,P$38,P$40,P$42,P$44,P$46,P$48,P$50,P$52,P$54,P$56,P$58,P$60,P$62,P$64,P$66),2)</f>
        <v>#NUM!</v>
      </c>
      <c r="Q101" s="25" t="e">
        <f>LARGE((Q$8,Q$10,Q$12,Q$14,Q$16,Q$18,Q$20,Q$22,Q$24,Q$26,Q$28,Q$30,Q$32,Q$34,Q$36,Q$38,Q$40,Q$42,Q$44,Q$46,Q$48,Q$50,Q$52,Q$54,Q$56,Q$58,Q$60,Q$62,Q$64,Q$66),2)</f>
        <v>#NUM!</v>
      </c>
      <c r="R101" s="25">
        <f>LARGE((R$8,R$10,R$12,R$14,R$16,R$18,R$20,R$22,R$24,R$26,R$28,R$30,R$32,R$34,R$36,R$38,R$40,R$42,R$44,R$46,R$48,R$50,R$52,R$54,R$56,R$58,R$60,R$62,R$64,R$66),2)</f>
        <v>70.20392602359847</v>
      </c>
      <c r="S101" s="25">
        <f>LARGE((S$8,S$10,S$12,S$14,S$16,S$18,S$20,S$22,S$24,S$26,S$28,S$30,S$32,S$34,S$36,S$38,S$40,S$42,S$44,S$46,S$48,S$50,S$52,S$54,S$56,S$58,S$60,S$62,S$64,S$66),2)</f>
        <v>76.0101816257342</v>
      </c>
    </row>
    <row r="102" spans="1:19" ht="12.75">
      <c r="A102" s="262"/>
      <c r="B102" s="262"/>
      <c r="C102" s="262"/>
      <c r="D102" s="25">
        <f>LARGE((D$8,D$10,D$12,D$14,D$16,D$18,D$20,D$22,D$24,D$26,D$28,D$30,D$32,D$34,D$36,D$38,D$40,D$42,D$44,D$46,D$48,D$50,D$52,D$54,D$56,D$58,D$60,D$62,D$64,D$66),3)</f>
        <v>61.32472480010631</v>
      </c>
      <c r="E102" s="25" t="e">
        <f>LARGE((E$8,E$10,E$12,E$14,E$16,E$18,E$20,E$22,E$24,E$26,E$28,E$30,E$32,E$34,E$36,E$38,E$40,E$42,E$44,E$46,E$48,E$50,E$52,E$54,E$56,E$58,E$60,E$62,E$64,E$66),3)</f>
        <v>#NUM!</v>
      </c>
      <c r="F102" s="25">
        <f>LARGE((F$8,F$10,F$12,F$14,F$16,F$18,F$20,F$22,F$24,F$26,F$28,F$30,F$32,F$34,F$36,F$38,F$40,F$42,F$44,F$46,F$48,F$50,F$52,F$54,F$56,F$58,F$60,F$62,F$64,F$66),3)</f>
        <v>70.48528241845663</v>
      </c>
      <c r="G102" s="25">
        <f>LARGE((G$8,G$10,G$12,G$14,G$16,G$18,G$20,G$22,G$24,G$26,G$28,G$30,G$32,G$34,G$36,G$38,G$40,G$42,G$44,G$46,G$48,G$50,G$52,G$54,G$56,G$58,G$60,G$62,G$64,G$66),3)</f>
        <v>73.61073447228912</v>
      </c>
      <c r="H102" s="25">
        <f>LARGE((H$8,H$10,H$12,H$14,H$16,H$18,H$20,H$22,H$24,H$26,H$28,H$30,H$32,H$34,H$36,H$38,H$40,H$42,H$44,H$46,H$48,H$50,H$52,H$54,H$56,H$58,H$60,H$62,H$64,H$66),3)</f>
        <v>70.3015587744042</v>
      </c>
      <c r="I102" s="25" t="e">
        <f>LARGE((I$8,I$10,I$12,I$14,I$16,I$18,I$20,I$22,I$24,I$26,I$28,I$30,I$32,I$34,I$36,I$38,I$40,I$42,I$44,I$46,I$48,I$50,I$52,I$54,I$56,I$58,I$60,I$62,I$64,I$66),3)</f>
        <v>#NUM!</v>
      </c>
      <c r="J102" s="25">
        <f>LARGE((J$8,J$10,J$12,J$14,J$16,J$18,J$20,J$22,J$24,J$26,J$28,J$30,J$32,J$34,J$36,J$38,J$40,J$42,J$44,J$46,J$48,J$50,J$52,J$54,J$56,J$58,J$60,J$62,J$64,J$66),3)</f>
        <v>69.40015186028853</v>
      </c>
      <c r="K102" s="25">
        <f>LARGE((K$8,K$10,K$12,K$14,K$16,K$18,K$20,K$22,K$24,K$26,K$28,K$30,K$32,K$34,K$36,K$38,K$40,K$42,K$44,K$46,K$48,K$50,K$52,K$54,K$56,K$58,K$60,K$62,K$64,K$66),3)</f>
        <v>60.52980132450331</v>
      </c>
      <c r="L102" s="25">
        <f>LARGE((L$8,L$10,L$12,L$14,L$16,L$18,L$20,L$22,L$24,L$26,L$28,L$30,L$32,L$34,L$36,L$38,L$40,L$42,L$44,L$46,L$48,L$50,L$52,L$54,L$56,L$58,L$60,L$62,L$64,L$66),3)</f>
        <v>73.13060817547358</v>
      </c>
      <c r="M102" s="25">
        <f>LARGE((M$8,M$10,M$12,M$14,M$16,M$18,M$20,M$22,M$24,M$26,M$28,M$30,M$32,M$34,M$36,M$38,M$40,M$42,M$44,M$46,M$48,M$50,M$52,M$54,M$56,M$58,M$60,M$62,M$64,M$66),3)</f>
        <v>69.67193589267168</v>
      </c>
      <c r="N102" s="25">
        <f>LARGE((N$8,N$10,N$12,N$14,N$16,N$18,N$20,N$22,N$24,N$26,N$28,N$30,N$32,N$34,N$36,N$38,N$40,N$42,N$44,N$46,N$48,N$50,N$52,N$54,N$56,N$58,N$60,N$62,N$64,N$66),3)</f>
        <v>69.13229668358898</v>
      </c>
      <c r="O102" s="25">
        <f>LARGE((O$8,O$10,O$12,O$14,O$16,O$18,O$20,O$22,O$24,O$26,O$28,O$30,O$32,O$34,O$36,O$38,O$40,O$42,O$44,O$46,O$48,O$50,O$52,O$54,O$56,O$58,O$60,O$62,O$64,O$66),3)</f>
        <v>65.48671579396583</v>
      </c>
      <c r="P102" s="25" t="e">
        <f>LARGE((P$8,P$10,P$12,P$14,P$16,P$18,P$20,P$22,P$24,P$26,P$28,P$30,P$32,P$34,P$36,P$38,P$40,P$42,P$44,P$46,P$48,P$50,P$52,P$54,P$56,P$58,P$60,P$62,P$64,P$66),3)</f>
        <v>#NUM!</v>
      </c>
      <c r="Q102" s="25" t="e">
        <f>LARGE((Q$8,Q$10,Q$12,Q$14,Q$16,Q$18,Q$20,Q$22,Q$24,Q$26,Q$28,Q$30,Q$32,Q$34,Q$36,Q$38,Q$40,Q$42,Q$44,Q$46,Q$48,Q$50,Q$52,Q$54,Q$56,Q$58,Q$60,Q$62,Q$64,Q$66),3)</f>
        <v>#NUM!</v>
      </c>
      <c r="R102" s="25">
        <f>LARGE((R$8,R$10,R$12,R$14,R$16,R$18,R$20,R$22,R$24,R$26,R$28,R$30,R$32,R$34,R$36,R$38,R$40,R$42,R$44,R$46,R$48,R$50,R$52,R$54,R$56,R$58,R$60,R$62,R$64,R$66),3)</f>
        <v>69.57277006163032</v>
      </c>
      <c r="S102" s="25">
        <f>LARGE((S$8,S$10,S$12,S$14,S$16,S$18,S$20,S$22,S$24,S$26,S$28,S$30,S$32,S$34,S$36,S$38,S$40,S$42,S$44,S$46,S$48,S$50,S$52,S$54,S$56,S$58,S$60,S$62,S$64,S$66),3)</f>
        <v>69.2167814992452</v>
      </c>
    </row>
  </sheetData>
  <sheetProtection sheet="1" objects="1" scenarios="1"/>
  <mergeCells count="24">
    <mergeCell ref="A1:B1"/>
    <mergeCell ref="AY100:BA100"/>
    <mergeCell ref="AN1:AO6"/>
    <mergeCell ref="A100:C102"/>
    <mergeCell ref="A3:B5"/>
    <mergeCell ref="E1:K1"/>
    <mergeCell ref="A2:B2"/>
    <mergeCell ref="D3:H3"/>
    <mergeCell ref="I3:M3"/>
    <mergeCell ref="N3:S3"/>
    <mergeCell ref="D2:L2"/>
    <mergeCell ref="BE1:BF1"/>
    <mergeCell ref="AS1:AY5"/>
    <mergeCell ref="BA1:BA5"/>
    <mergeCell ref="T4:V4"/>
    <mergeCell ref="T5:V5"/>
    <mergeCell ref="T1:V3"/>
    <mergeCell ref="BB1:BD5"/>
    <mergeCell ref="AP1:AP5"/>
    <mergeCell ref="BO5:BO6"/>
    <mergeCell ref="BK1:BM4"/>
    <mergeCell ref="BO2:BO3"/>
    <mergeCell ref="BP2:BR4"/>
    <mergeCell ref="BN1:BR1"/>
  </mergeCells>
  <conditionalFormatting sqref="T18 T8 T48 T38 T40 T42 T50 T10 T44 T12 T28 T14 T46 T52 T20 T22 T30 T54 T24 T32 T34 T16 T26 T56 T36 T58 T60 T62 T64 T66 T68 T70 T72 T74 T76 T78 T80 T82 T84 T86">
    <cfRule type="expression" priority="1" dxfId="2" stopIfTrue="1">
      <formula>T8=$AV8</formula>
    </cfRule>
  </conditionalFormatting>
  <conditionalFormatting sqref="E7:P7 R7:S7 E47:P47 R47:S47 E9:P9 R9:S9 E11:P11 R11:S11 E13:P13 R13:S13 E27:P27 E37:P37 R37:S37 E39:P39 E49:P49 R39:S39 E17:P17 R17:S17 E19:P19 R19:S19 R49:S49 E21:P21 R27:S27 E29:P29 R29:S29 E31:P31 R21:S21 R31:S31 E41:P41 R41:S41 E43:P43 R43:S43 E33:P33 E45:P45 E51:P51 R51:S51 E53:P53 R53:S53 R45:S45 E55:P55 R55:S55 E15:P15 R15:S15 E23:P23 R23:S23 E25:P25 R25:S25 R33:S33 E35:P35 R35:S35 E57:P57 R57:S57 E59:P59 R59:S59 E61:P61 R61:S61 E63:P63 R63:S63 E65:P65 R65:S65 E67:P67 R67:S67 E69:P69 R69:S69 E71:P71 R71:S71 E73:P73 R73:S73 E75:P75 R75:S75 E77:P77 R77:S77 E79:P79 R79:S79 E81:P81 R81:S81 E83:P83 R83:S83 E85:P85 R85:S85">
    <cfRule type="expression" priority="2" dxfId="1" stopIfTrue="1">
      <formula>E8=E$100</formula>
    </cfRule>
    <cfRule type="expression" priority="3" dxfId="3" stopIfTrue="1">
      <formula>E8=E$101</formula>
    </cfRule>
    <cfRule type="expression" priority="4" dxfId="0" stopIfTrue="1">
      <formula>E8=E$102</formula>
    </cfRule>
  </conditionalFormatting>
  <conditionalFormatting sqref="D7 Q7 D47 Q47 D9 Q9 D11 Q11 D13 Q13 D49 Q49 D51 Q51 D53 Q53 D55 Q55 D15 Q15 D17 Q17 D19 Q19 D21 Q21 D23 Q23 D25 Q25 D27 Q27 D29 Q29 D31 Q31 D33 Q33 D35 Q35 D37 Q37 D39 Q39 D41 Q41 D43 Q43 D45 Q45 D57 Q57 D59 Q59 D61 Q61 D63 Q63 D65 Q65 D67 Q67 D69 Q69 D71 Q71 D73 Q73 D75 Q75 D77 Q77 D79 Q79 D81 Q81 D83 Q83 D85 Q85">
    <cfRule type="expression" priority="5" dxfId="1" stopIfTrue="1">
      <formula>D8=D$100</formula>
    </cfRule>
    <cfRule type="expression" priority="6" dxfId="3" stopIfTrue="1">
      <formula>D8=D$101</formula>
    </cfRule>
    <cfRule type="expression" priority="7" dxfId="0" stopIfTrue="1">
      <formula>D8=D$102</formula>
    </cfRule>
  </conditionalFormatting>
  <conditionalFormatting sqref="D18:H18 D66:H66 D64:H64 D62:H62 D60:H60 D28:H28 D26:H26 D24:H24 D22:H22 D58:H58 D10:H10 D12:H12 D14:H14 D16:H16 D56:H56 D46:H46 D36:H36 D34:H34 D32:H32 D48:H48 D20:H20 D38:H38 D40:H40 D42:H42 D30:H30 D54:H54 D52:H52 D50:H50 D44:H44 D8:H8 D70:H70 D68:H68 D74:H74 D72:H72 D78:H78 D76:H76 D82:H82 D80:H80 D86:H86 D84:H84">
    <cfRule type="expression" priority="8" dxfId="4" stopIfTrue="1">
      <formula>AND(D8=$AV8,$AV8&gt;0)</formula>
    </cfRule>
  </conditionalFormatting>
  <conditionalFormatting sqref="I66:M66 I10:M10 I12:M12 I14:M14 I16:M16 I48:M48 I50:M50 I52:M52 I54:M54 I56:M56 I18:M18 I20:M20 I22:M22 J8:M8 I26:M26 I28:M28 I30:M30 I32:M32 I34:M34 I36:M36 I38:M38 I40:M40 I42:M42 I44:M44 I46:M46 I58:M58 I60:M60 I62:M62 I64:M64 J24:M24 I70:M70 I68:M68 I74:M74 I72:M72 I78:M78 I76:M76 I82:M82 I80:M80 I86:M86 I84:M84">
    <cfRule type="expression" priority="9" dxfId="4" stopIfTrue="1">
      <formula>AND(I8=$AW8,$AW8&gt;0)</formula>
    </cfRule>
  </conditionalFormatting>
  <conditionalFormatting sqref="I8 I24">
    <cfRule type="expression" priority="10" dxfId="4" stopIfTrue="1">
      <formula>AND(I8=$AW8,$AW8&gt;0)</formula>
    </cfRule>
  </conditionalFormatting>
  <conditionalFormatting sqref="N8:S8 N10:S10 N12:S12 N14:S14 N16:S16 N18:S18 N20:S20 N22:S22 N24:S24 N26:S26 N28:S28 N30:S30 N32:S32 N34:S34 N36:S36 N38:S38 N40:S40 N42:S42 N44:S44 N46:S46 N48:S48 N50:S50 N52:S52 N54:S54 N56:S56 N58:S58 N60:S60 N62:S62 N64:S64 N66:S66 N68:S68 N70:S70 N72:S72 N74:S74 N76:S76 N78:S78 N80:S80 N82:S82 N84:S84 N86:S86">
    <cfRule type="expression" priority="11" dxfId="4" stopIfTrue="1">
      <formula>AND(N8=$AX8,$AX8&gt;0)</formula>
    </cfRule>
  </conditionalFormatting>
  <hyperlinks>
    <hyperlink ref="A1:B1" location="'Front Page'!A1" display="Front Page"/>
  </hyperlinks>
  <printOptions/>
  <pageMargins left="0.75" right="0.75" top="1" bottom="1" header="0.5" footer="0.5"/>
  <pageSetup orientation="portrait" paperSize="9" r:id="rId3"/>
  <drawing r:id="rId2"/>
  <legacyDrawing r:id="rId1"/>
</worksheet>
</file>

<file path=xl/worksheets/sheet4.xml><?xml version="1.0" encoding="utf-8"?>
<worksheet xmlns="http://schemas.openxmlformats.org/spreadsheetml/2006/main" xmlns:r="http://schemas.openxmlformats.org/officeDocument/2006/relationships">
  <dimension ref="A1:BS102"/>
  <sheetViews>
    <sheetView zoomScale="80" zoomScaleNormal="80" workbookViewId="0" topLeftCell="A1">
      <pane xSplit="3" ySplit="6" topLeftCell="P33" activePane="bottomRight" state="frozen"/>
      <selection pane="topLeft" activeCell="AV90" sqref="AV90"/>
      <selection pane="topRight" activeCell="AV90" sqref="AV90"/>
      <selection pane="bottomLeft" activeCell="AV90" sqref="AV90"/>
      <selection pane="bottomRight" activeCell="U45" sqref="U45"/>
    </sheetView>
  </sheetViews>
  <sheetFormatPr defaultColWidth="9.140625" defaultRowHeight="12.75"/>
  <cols>
    <col min="1" max="1" width="17.7109375" style="0" customWidth="1"/>
    <col min="2" max="2" width="6.8515625" style="0" customWidth="1"/>
    <col min="3" max="3" width="12.28125" style="0" customWidth="1"/>
    <col min="4" max="4" width="15.28125" style="0" customWidth="1"/>
    <col min="5" max="6" width="11.7109375" style="0" customWidth="1"/>
    <col min="7" max="7" width="11.421875" style="0" customWidth="1"/>
    <col min="8" max="8" width="14.8515625" style="0" customWidth="1"/>
    <col min="9" max="9" width="11.57421875" style="0" customWidth="1"/>
    <col min="10" max="10" width="15.140625" style="0" customWidth="1"/>
    <col min="11" max="11" width="12.421875" style="0" customWidth="1"/>
    <col min="12" max="12" width="10.7109375" style="0" customWidth="1"/>
    <col min="13" max="13" width="13.28125" style="0" customWidth="1"/>
    <col min="14" max="14" width="14.421875" style="0" customWidth="1"/>
    <col min="15" max="15" width="17.00390625" style="0" customWidth="1"/>
    <col min="16" max="16" width="17.421875" style="0" customWidth="1"/>
    <col min="17" max="17" width="15.00390625" style="0" customWidth="1"/>
    <col min="18" max="18" width="14.7109375" style="0" customWidth="1"/>
    <col min="19" max="19" width="14.57421875" style="0" customWidth="1"/>
    <col min="20" max="20" width="14.421875" style="0" customWidth="1"/>
    <col min="21" max="21" width="16.140625" style="0" customWidth="1"/>
    <col min="22" max="22" width="30.28125" style="0" customWidth="1"/>
    <col min="25" max="25" width="5.7109375" style="0" customWidth="1"/>
    <col min="36" max="36" width="3.421875" style="0" customWidth="1"/>
    <col min="42" max="50" width="0" style="0" hidden="1" customWidth="1"/>
    <col min="51" max="51" width="12.00390625" style="0" hidden="1" customWidth="1"/>
    <col min="52" max="52" width="11.28125" style="0" hidden="1" customWidth="1"/>
    <col min="53" max="54" width="0" style="0" hidden="1" customWidth="1"/>
    <col min="55" max="55" width="18.421875" style="0" hidden="1" customWidth="1"/>
    <col min="56" max="66" width="0" style="0" hidden="1" customWidth="1"/>
    <col min="67" max="67" width="15.140625" style="0" hidden="1" customWidth="1"/>
    <col min="68" max="68" width="0" style="0" hidden="1" customWidth="1"/>
    <col min="69" max="69" width="16.00390625" style="0" hidden="1" customWidth="1"/>
    <col min="70" max="70" width="9.140625" style="0" hidden="1" customWidth="1"/>
  </cols>
  <sheetData>
    <row r="1" spans="1:71" ht="39.75" customHeight="1" thickBot="1">
      <c r="A1" s="224" t="s">
        <v>140</v>
      </c>
      <c r="B1" s="225"/>
      <c r="C1" s="61"/>
      <c r="D1" s="11"/>
      <c r="E1" s="289" t="s">
        <v>45</v>
      </c>
      <c r="F1" s="289"/>
      <c r="G1" s="289"/>
      <c r="H1" s="289"/>
      <c r="I1" s="289"/>
      <c r="J1" s="289"/>
      <c r="K1" s="289"/>
      <c r="L1" s="11"/>
      <c r="M1" s="13"/>
      <c r="N1" s="4"/>
      <c r="O1" s="4"/>
      <c r="P1" s="4"/>
      <c r="Q1" s="4"/>
      <c r="R1" s="4"/>
      <c r="S1" s="4"/>
      <c r="T1" s="255"/>
      <c r="U1" s="255"/>
      <c r="V1" s="255"/>
      <c r="W1" s="4"/>
      <c r="AN1" s="261" t="s">
        <v>115</v>
      </c>
      <c r="AO1" s="261"/>
      <c r="AP1" s="248" t="s">
        <v>113</v>
      </c>
      <c r="AQ1" s="103"/>
      <c r="AR1" s="103"/>
      <c r="AS1" s="248" t="s">
        <v>59</v>
      </c>
      <c r="AT1" s="249"/>
      <c r="AU1" s="249"/>
      <c r="AV1" s="249"/>
      <c r="AW1" s="249"/>
      <c r="AX1" s="249"/>
      <c r="AY1" s="249"/>
      <c r="AZ1" s="103"/>
      <c r="BA1" s="248" t="s">
        <v>64</v>
      </c>
      <c r="BB1" s="258" t="s">
        <v>111</v>
      </c>
      <c r="BC1" s="258"/>
      <c r="BD1" s="259"/>
      <c r="BE1" s="280" t="s">
        <v>58</v>
      </c>
      <c r="BF1" s="281"/>
      <c r="BG1" s="103"/>
      <c r="BH1" s="103"/>
      <c r="BI1" s="103"/>
      <c r="BJ1" s="11"/>
      <c r="BK1" s="279" t="s">
        <v>120</v>
      </c>
      <c r="BL1" s="243"/>
      <c r="BM1" s="243"/>
      <c r="BN1" s="244" t="s">
        <v>252</v>
      </c>
      <c r="BO1" s="244"/>
      <c r="BP1" s="244"/>
      <c r="BQ1" s="244"/>
      <c r="BR1" s="244"/>
      <c r="BS1" s="103"/>
    </row>
    <row r="2" spans="1:71" ht="36.75" customHeight="1" thickBot="1">
      <c r="A2" s="290" t="s">
        <v>57</v>
      </c>
      <c r="B2" s="291"/>
      <c r="C2" s="60" t="s">
        <v>5</v>
      </c>
      <c r="D2" s="288" t="s">
        <v>68</v>
      </c>
      <c r="E2" s="288"/>
      <c r="F2" s="288"/>
      <c r="G2" s="288"/>
      <c r="H2" s="288"/>
      <c r="I2" s="288"/>
      <c r="J2" s="288"/>
      <c r="K2" s="288"/>
      <c r="L2" s="288"/>
      <c r="M2" s="23"/>
      <c r="N2" s="23"/>
      <c r="O2" s="23"/>
      <c r="P2" s="23"/>
      <c r="Q2" s="23"/>
      <c r="R2" s="23"/>
      <c r="S2" s="23"/>
      <c r="T2" s="256"/>
      <c r="U2" s="256"/>
      <c r="V2" s="256"/>
      <c r="W2" s="23"/>
      <c r="AN2" s="261"/>
      <c r="AO2" s="261"/>
      <c r="AP2" s="248"/>
      <c r="AQ2" s="103"/>
      <c r="AR2" s="103"/>
      <c r="AS2" s="249"/>
      <c r="AT2" s="249"/>
      <c r="AU2" s="249"/>
      <c r="AV2" s="249"/>
      <c r="AW2" s="249"/>
      <c r="AX2" s="249"/>
      <c r="AY2" s="249"/>
      <c r="AZ2" s="103"/>
      <c r="BA2" s="248"/>
      <c r="BB2" s="258"/>
      <c r="BC2" s="258"/>
      <c r="BD2" s="259"/>
      <c r="BE2" s="104" t="s">
        <v>39</v>
      </c>
      <c r="BF2" s="104">
        <v>1</v>
      </c>
      <c r="BG2" s="104" t="s">
        <v>39</v>
      </c>
      <c r="BH2" s="103"/>
      <c r="BI2" s="103"/>
      <c r="BJ2" s="11"/>
      <c r="BK2" s="243"/>
      <c r="BL2" s="243"/>
      <c r="BM2" s="243"/>
      <c r="BN2" s="11"/>
      <c r="BO2" s="243" t="s">
        <v>121</v>
      </c>
      <c r="BP2" s="279" t="s">
        <v>122</v>
      </c>
      <c r="BQ2" s="243"/>
      <c r="BR2" s="243"/>
      <c r="BS2" s="103"/>
    </row>
    <row r="3" spans="1:71" ht="21.75" customHeight="1">
      <c r="A3" s="284" t="s">
        <v>67</v>
      </c>
      <c r="B3" s="285"/>
      <c r="C3" s="62"/>
      <c r="D3" s="270" t="s">
        <v>10</v>
      </c>
      <c r="E3" s="271"/>
      <c r="F3" s="271"/>
      <c r="G3" s="271"/>
      <c r="H3" s="272"/>
      <c r="I3" s="273" t="s">
        <v>11</v>
      </c>
      <c r="J3" s="274"/>
      <c r="K3" s="274"/>
      <c r="L3" s="274"/>
      <c r="M3" s="292"/>
      <c r="N3" s="276" t="s">
        <v>12</v>
      </c>
      <c r="O3" s="277"/>
      <c r="P3" s="277"/>
      <c r="Q3" s="277"/>
      <c r="R3" s="277"/>
      <c r="S3" s="278"/>
      <c r="T3" s="257"/>
      <c r="U3" s="257"/>
      <c r="V3" s="257"/>
      <c r="W3" s="4"/>
      <c r="AN3" s="261"/>
      <c r="AO3" s="261"/>
      <c r="AP3" s="248"/>
      <c r="AQ3" s="103"/>
      <c r="AR3" s="103"/>
      <c r="AS3" s="249"/>
      <c r="AT3" s="249"/>
      <c r="AU3" s="249"/>
      <c r="AV3" s="249"/>
      <c r="AW3" s="249"/>
      <c r="AX3" s="249"/>
      <c r="AY3" s="249"/>
      <c r="AZ3" s="103"/>
      <c r="BA3" s="248"/>
      <c r="BB3" s="258"/>
      <c r="BC3" s="258"/>
      <c r="BD3" s="259"/>
      <c r="BE3" s="104" t="s">
        <v>20</v>
      </c>
      <c r="BF3" s="104">
        <v>2</v>
      </c>
      <c r="BG3" s="104" t="s">
        <v>20</v>
      </c>
      <c r="BH3" s="103"/>
      <c r="BI3" s="103"/>
      <c r="BJ3" s="11"/>
      <c r="BK3" s="243"/>
      <c r="BL3" s="243"/>
      <c r="BM3" s="243"/>
      <c r="BN3" s="11"/>
      <c r="BO3" s="243"/>
      <c r="BP3" s="243"/>
      <c r="BQ3" s="243"/>
      <c r="BR3" s="243"/>
      <c r="BS3" s="103"/>
    </row>
    <row r="4" spans="1:71" ht="38.25">
      <c r="A4" s="284"/>
      <c r="B4" s="285"/>
      <c r="C4" s="63" t="s">
        <v>56</v>
      </c>
      <c r="D4" s="106" t="s">
        <v>116</v>
      </c>
      <c r="E4" s="30" t="s">
        <v>13</v>
      </c>
      <c r="F4" s="30" t="s">
        <v>14</v>
      </c>
      <c r="G4" s="30" t="s">
        <v>15</v>
      </c>
      <c r="H4" s="107" t="s">
        <v>117</v>
      </c>
      <c r="I4" s="49" t="s">
        <v>16</v>
      </c>
      <c r="J4" s="26" t="s">
        <v>17</v>
      </c>
      <c r="K4" s="26" t="s">
        <v>28</v>
      </c>
      <c r="L4" s="26" t="s">
        <v>29</v>
      </c>
      <c r="M4" s="50" t="s">
        <v>18</v>
      </c>
      <c r="N4" s="27" t="s">
        <v>30</v>
      </c>
      <c r="O4" s="28" t="s">
        <v>31</v>
      </c>
      <c r="P4" s="28" t="s">
        <v>32</v>
      </c>
      <c r="Q4" s="28" t="s">
        <v>33</v>
      </c>
      <c r="R4" s="28" t="s">
        <v>34</v>
      </c>
      <c r="S4" s="85" t="s">
        <v>35</v>
      </c>
      <c r="T4" s="250" t="s">
        <v>60</v>
      </c>
      <c r="U4" s="251"/>
      <c r="V4" s="251"/>
      <c r="W4" s="4"/>
      <c r="AN4" s="261"/>
      <c r="AO4" s="261"/>
      <c r="AP4" s="248"/>
      <c r="AQ4" s="103"/>
      <c r="AR4" s="103"/>
      <c r="AS4" s="249"/>
      <c r="AT4" s="249"/>
      <c r="AU4" s="249"/>
      <c r="AV4" s="249"/>
      <c r="AW4" s="249"/>
      <c r="AX4" s="249"/>
      <c r="AY4" s="249"/>
      <c r="AZ4" s="103"/>
      <c r="BA4" s="248"/>
      <c r="BB4" s="258"/>
      <c r="BC4" s="258"/>
      <c r="BD4" s="259"/>
      <c r="BE4" s="104" t="s">
        <v>40</v>
      </c>
      <c r="BF4" s="104">
        <v>3</v>
      </c>
      <c r="BG4" s="104" t="s">
        <v>40</v>
      </c>
      <c r="BH4" s="103"/>
      <c r="BI4" s="103"/>
      <c r="BJ4" s="11"/>
      <c r="BK4" s="243"/>
      <c r="BL4" s="243"/>
      <c r="BM4" s="243"/>
      <c r="BN4" s="11"/>
      <c r="BO4" s="217" t="str">
        <f>'Race Analysis'!BD22</f>
        <v>Aberystwyth 10k</v>
      </c>
      <c r="BP4" s="243"/>
      <c r="BQ4" s="243"/>
      <c r="BR4" s="243"/>
      <c r="BS4" s="103"/>
    </row>
    <row r="5" spans="1:71" ht="18.75" customHeight="1" thickBot="1">
      <c r="A5" s="286"/>
      <c r="B5" s="287"/>
      <c r="C5" s="63" t="s">
        <v>19</v>
      </c>
      <c r="D5" s="29">
        <v>2</v>
      </c>
      <c r="E5" s="30">
        <v>2</v>
      </c>
      <c r="F5" s="30">
        <v>2</v>
      </c>
      <c r="G5" s="30">
        <v>2</v>
      </c>
      <c r="H5" s="31">
        <v>2</v>
      </c>
      <c r="I5" s="49">
        <v>4</v>
      </c>
      <c r="J5" s="26">
        <v>5</v>
      </c>
      <c r="K5" s="26">
        <v>5</v>
      </c>
      <c r="L5" s="26">
        <v>4</v>
      </c>
      <c r="M5" s="50">
        <v>5</v>
      </c>
      <c r="N5" s="27">
        <v>9</v>
      </c>
      <c r="O5" s="28">
        <v>12</v>
      </c>
      <c r="P5" s="28">
        <v>7</v>
      </c>
      <c r="Q5" s="28">
        <v>9</v>
      </c>
      <c r="R5" s="28">
        <v>9</v>
      </c>
      <c r="S5" s="85">
        <v>7</v>
      </c>
      <c r="T5" s="282" t="s">
        <v>106</v>
      </c>
      <c r="U5" s="253"/>
      <c r="V5" s="254"/>
      <c r="W5" s="4"/>
      <c r="AN5" s="261"/>
      <c r="AO5" s="261"/>
      <c r="AP5" s="248"/>
      <c r="AQ5" s="103"/>
      <c r="AR5" s="103"/>
      <c r="AS5" s="249"/>
      <c r="AT5" s="249"/>
      <c r="AU5" s="249"/>
      <c r="AV5" s="249"/>
      <c r="AW5" s="249"/>
      <c r="AX5" s="249"/>
      <c r="AY5" s="249"/>
      <c r="AZ5" s="103"/>
      <c r="BA5" s="248"/>
      <c r="BB5" s="258"/>
      <c r="BC5" s="258"/>
      <c r="BD5" s="259"/>
      <c r="BE5" s="104" t="s">
        <v>21</v>
      </c>
      <c r="BF5" s="104">
        <v>4</v>
      </c>
      <c r="BG5" s="104" t="s">
        <v>21</v>
      </c>
      <c r="BH5" s="103"/>
      <c r="BI5" s="103"/>
      <c r="BJ5" s="11"/>
      <c r="BK5" s="11"/>
      <c r="BL5" s="11" t="s">
        <v>160</v>
      </c>
      <c r="BM5" s="11"/>
      <c r="BN5" s="11"/>
      <c r="BO5" s="218" t="s">
        <v>89</v>
      </c>
      <c r="BP5" s="11"/>
      <c r="BQ5" s="11"/>
      <c r="BR5" s="11"/>
      <c r="BS5" s="103"/>
    </row>
    <row r="6" spans="1:71" ht="64.5" thickBot="1">
      <c r="A6" s="4" t="s">
        <v>38</v>
      </c>
      <c r="B6" s="4" t="s">
        <v>4</v>
      </c>
      <c r="C6" s="45" t="s">
        <v>26</v>
      </c>
      <c r="D6" s="32">
        <v>39173</v>
      </c>
      <c r="E6" s="33">
        <v>39218</v>
      </c>
      <c r="F6" s="33">
        <v>39232</v>
      </c>
      <c r="G6" s="33">
        <v>39246</v>
      </c>
      <c r="H6" s="34">
        <v>39326</v>
      </c>
      <c r="I6" s="51">
        <v>39158</v>
      </c>
      <c r="J6" s="35">
        <v>39229</v>
      </c>
      <c r="K6" s="36">
        <v>39203</v>
      </c>
      <c r="L6" s="36">
        <v>39264</v>
      </c>
      <c r="M6" s="52">
        <v>39417</v>
      </c>
      <c r="N6" s="37">
        <v>39131</v>
      </c>
      <c r="O6" s="38">
        <v>39158</v>
      </c>
      <c r="P6" s="39"/>
      <c r="Q6" s="38">
        <v>39208</v>
      </c>
      <c r="R6" s="38">
        <v>39334</v>
      </c>
      <c r="S6" s="84">
        <v>39356</v>
      </c>
      <c r="T6" s="88" t="s">
        <v>89</v>
      </c>
      <c r="U6" s="88" t="s">
        <v>105</v>
      </c>
      <c r="V6" s="88" t="s">
        <v>56</v>
      </c>
      <c r="W6" s="4"/>
      <c r="AN6" s="261"/>
      <c r="AO6" s="261"/>
      <c r="AP6" s="103" t="s">
        <v>112</v>
      </c>
      <c r="AQ6" s="103"/>
      <c r="AR6" s="103"/>
      <c r="AS6" s="103" t="s">
        <v>10</v>
      </c>
      <c r="AT6" s="103" t="s">
        <v>11</v>
      </c>
      <c r="AU6" s="105" t="s">
        <v>12</v>
      </c>
      <c r="AV6" s="103" t="s">
        <v>10</v>
      </c>
      <c r="AW6" s="103" t="s">
        <v>11</v>
      </c>
      <c r="AX6" s="105" t="s">
        <v>12</v>
      </c>
      <c r="AY6" s="103" t="s">
        <v>61</v>
      </c>
      <c r="AZ6" s="103" t="s">
        <v>62</v>
      </c>
      <c r="BA6" s="103" t="s">
        <v>63</v>
      </c>
      <c r="BB6" s="103"/>
      <c r="BC6" s="103" t="s">
        <v>38</v>
      </c>
      <c r="BD6" s="103" t="s">
        <v>4</v>
      </c>
      <c r="BE6" s="104" t="s">
        <v>22</v>
      </c>
      <c r="BF6" s="104">
        <v>5</v>
      </c>
      <c r="BG6" s="104" t="s">
        <v>22</v>
      </c>
      <c r="BH6" s="103"/>
      <c r="BI6" s="103"/>
      <c r="BJ6" s="11"/>
      <c r="BK6" s="11"/>
      <c r="BL6" s="11">
        <f>LARGE(BL7:BL86,1)</f>
        <v>18</v>
      </c>
      <c r="BM6" s="11"/>
      <c r="BN6" s="11"/>
      <c r="BO6" s="11"/>
      <c r="BP6" s="11" t="s">
        <v>37</v>
      </c>
      <c r="BQ6" s="11" t="s">
        <v>38</v>
      </c>
      <c r="BR6" s="11" t="s">
        <v>4</v>
      </c>
      <c r="BS6" s="103"/>
    </row>
    <row r="7" spans="1:70" ht="12.75">
      <c r="A7" s="192" t="s">
        <v>199</v>
      </c>
      <c r="B7" s="193">
        <v>47</v>
      </c>
      <c r="C7" s="194" t="s">
        <v>36</v>
      </c>
      <c r="D7" s="195">
        <v>0.013020833333333334</v>
      </c>
      <c r="E7" s="195">
        <v>0</v>
      </c>
      <c r="F7" s="195">
        <v>0</v>
      </c>
      <c r="G7" s="195">
        <v>0</v>
      </c>
      <c r="H7" s="195">
        <v>0</v>
      </c>
      <c r="I7" s="195">
        <v>0</v>
      </c>
      <c r="J7" s="195">
        <v>0</v>
      </c>
      <c r="K7" s="195">
        <v>0</v>
      </c>
      <c r="L7" s="195">
        <v>0</v>
      </c>
      <c r="M7" s="195">
        <v>0.028402777777777777</v>
      </c>
      <c r="N7" s="195">
        <v>0.061724537037037036</v>
      </c>
      <c r="O7" s="195">
        <v>0.09965277777777777</v>
      </c>
      <c r="P7" s="195">
        <v>0.04622685185185185</v>
      </c>
      <c r="Q7" s="195">
        <v>0.060335648148148145</v>
      </c>
      <c r="R7" s="195">
        <v>0.059537037037037034</v>
      </c>
      <c r="S7" s="196">
        <v>0.04508101851851851</v>
      </c>
      <c r="T7" s="196">
        <v>0.04508101851851851</v>
      </c>
      <c r="U7" s="197">
        <v>7</v>
      </c>
      <c r="V7" s="198" t="s">
        <v>35</v>
      </c>
      <c r="W7" s="4"/>
      <c r="BE7" s="24" t="s">
        <v>41</v>
      </c>
      <c r="BF7" s="24">
        <v>6</v>
      </c>
      <c r="BG7" s="24" t="s">
        <v>41</v>
      </c>
      <c r="BJ7" t="str">
        <f>IF(BO7&gt;0,"In","")</f>
        <v>In</v>
      </c>
      <c r="BK7" s="41">
        <f>IF(BJ7="In",BO7,"")</f>
        <v>0.028402777777777777</v>
      </c>
      <c r="BL7">
        <f>IF(BJ7="In",RANK(BK7,BK$7:BK$86,1),"")</f>
        <v>4</v>
      </c>
      <c r="BM7" t="str">
        <f>IF(BJ7="In",CONCATENATE(BJ7,BL7),"")</f>
        <v>In4</v>
      </c>
      <c r="BN7">
        <v>7</v>
      </c>
      <c r="BO7" s="41">
        <f aca="true" t="shared" si="0" ref="BO7:BO38">HLOOKUP($BO$4,D$4:S$86,BN7-3,FALSE)</f>
        <v>0.028402777777777777</v>
      </c>
      <c r="BP7">
        <f>BO8</f>
        <v>74.14815180978528</v>
      </c>
      <c r="BQ7" t="str">
        <f>IF($BJ7="In",A7,"")</f>
        <v>Dave Powell</v>
      </c>
      <c r="BR7">
        <f>IF($BJ7="In",B7,"")</f>
        <v>47</v>
      </c>
    </row>
    <row r="8" spans="1:67" ht="13.5" thickBot="1">
      <c r="A8" s="48" t="str">
        <f>CONCATENATE(A7,C8)</f>
        <v>Dave PowellPoints</v>
      </c>
      <c r="B8" s="46"/>
      <c r="C8" s="47" t="s">
        <v>37</v>
      </c>
      <c r="D8" s="42">
        <f>IF(D7&gt;0,VLOOKUP(CONCATENATE($C$2,$B7),'Base Calculation'!$A$5:$O$89,D$5+2,FALSE)/D7*100,"")</f>
        <v>76.92117800982497</v>
      </c>
      <c r="E8" s="42">
        <f>IF(E7&gt;0,VLOOKUP(CONCATENATE($C$2,$B7),'Base Calculation'!$A$5:$O$89,E$5+2,FALSE)/E7*100,"")</f>
      </c>
      <c r="F8" s="42">
        <f>IF(F7&gt;0,VLOOKUP(CONCATENATE($C$2,$B7),'Base Calculation'!$A$5:$O$89,F$5+2,FALSE)/F7*100,"")</f>
      </c>
      <c r="G8" s="42">
        <f>IF(G7&gt;0,VLOOKUP(CONCATENATE($C$2,$B7),'Base Calculation'!$A$5:$O$89,G$5+2,FALSE)/G7*100,"")</f>
      </c>
      <c r="H8" s="42">
        <f>IF(H7&gt;0,VLOOKUP(CONCATENATE($C$2,$B7),'Base Calculation'!$A$5:$O$89,H$5+2,FALSE)/H7*100,"")</f>
      </c>
      <c r="I8" s="42">
        <f>IF(I7&gt;0,VLOOKUP(CONCATENATE($C$2,$B7),'Base Calculation'!$A$5:$O$89,I$5+2,FALSE)/I7*100,"")</f>
      </c>
      <c r="J8" s="42">
        <f>IF(J7&gt;0,VLOOKUP(CONCATENATE($C$2,$B7),'Base Calculation'!$A$5:$O$89,J$5+2,FALSE)/J7*100,"")</f>
      </c>
      <c r="K8" s="42">
        <f>IF(K7&gt;0,VLOOKUP(CONCATENATE($C$2,$B7),'Base Calculation'!$A$5:$O$89,K$5+2,FALSE)/K7*100,"")</f>
      </c>
      <c r="L8" s="42">
        <f>IF(L7&gt;0,VLOOKUP(CONCATENATE($C$2,$B7),'Base Calculation'!$A$5:$O$89,L$5+2,FALSE)/L7*100,"")</f>
      </c>
      <c r="M8" s="42">
        <f>IF(M7&gt;0,VLOOKUP(CONCATENATE($C$2,$B7),'Base Calculation'!$A$5:$O$89,M$5+2,FALSE)/M7*100,"")</f>
        <v>74.14815180978528</v>
      </c>
      <c r="N8" s="42">
        <f>IF(N7&gt;0,VLOOKUP(CONCATENATE($C$2,$B7),'Base Calculation'!$A$5:$O$89,N$5+2,FALSE)/N7*100,"")</f>
        <v>73.88403343749309</v>
      </c>
      <c r="O8" s="42">
        <f>IF(O7&gt;0,VLOOKUP(CONCATENATE($C$2,$B7),'Base Calculation'!$A$5:$O$89,O$5+2,FALSE)/O7*100,"")</f>
        <v>73.53498824262012</v>
      </c>
      <c r="P8" s="42">
        <f>IF(P7&gt;0,VLOOKUP(CONCATENATE($C$2,$B7),'Base Calculation'!$A$5:$O$89,P$5+2,FALSE)/P7*100,"")</f>
        <v>74.09470126095609</v>
      </c>
      <c r="Q8" s="42">
        <f>IF(Q7&gt;0,VLOOKUP(CONCATENATE($C$2,$B7),'Base Calculation'!$A$5:$O$89,Q$5+2,FALSE)/Q7*100,"")</f>
        <v>75.58479768312884</v>
      </c>
      <c r="R8" s="42">
        <f>IF(R7&gt;0,VLOOKUP(CONCATENATE($C$2,$B7),'Base Calculation'!$A$5:$O$89,R$5+2,FALSE)/R7*100,"")</f>
        <v>76.59866841410394</v>
      </c>
      <c r="S8" s="42">
        <f>IF(S7&gt;0,VLOOKUP(CONCATENATE($C$2,$B7),'Base Calculation'!$A$5:$O$89,S$5+2,FALSE)/S7*100,"")</f>
        <v>75.97798121598424</v>
      </c>
      <c r="T8" s="83">
        <f>IF(T7&gt;0,VLOOKUP(CONCATENATE($C$2,$B7),'Base Calculation'!$A$5:$O$89,U7+2,FALSE)/T7*100,"")</f>
        <v>75.97798121598424</v>
      </c>
      <c r="U8" s="89" t="str">
        <f>IF(U7&gt;0,VLOOKUP(U7,BF$2:BG$14,2,FALSE),"")</f>
        <v>10 Mile</v>
      </c>
      <c r="V8" s="90" t="str">
        <f>V7</f>
        <v>Penmaenpool 10</v>
      </c>
      <c r="W8" s="4"/>
      <c r="AP8" s="25">
        <f>17-COUNTIF(D8:T8,"")</f>
        <v>9</v>
      </c>
      <c r="AQ8" t="str">
        <f>CONCATENATE($C$2,BB8)</f>
        <v>Male4</v>
      </c>
      <c r="AS8" s="25">
        <f>SUM(D8:H8)</f>
        <v>76.92117800982497</v>
      </c>
      <c r="AT8" s="25">
        <f>SUM(I8:M8)</f>
        <v>74.14815180978528</v>
      </c>
      <c r="AU8" s="25">
        <f>SUM(N8:S8)</f>
        <v>449.6751702542863</v>
      </c>
      <c r="AV8" s="25">
        <f>IF($AS8&gt;0,LARGE(D8:H8,1),0)</f>
        <v>76.92117800982497</v>
      </c>
      <c r="AW8" s="25">
        <f>IF($AT8&gt;0,LARGE(I8:M8,1),0)</f>
        <v>74.14815180978528</v>
      </c>
      <c r="AX8" s="25">
        <f>IF($AU8&gt;0,LARGE(N8:S8,1),0)</f>
        <v>76.59866841410394</v>
      </c>
      <c r="AY8" s="25">
        <f>IF('League Summary'!$X$2=1,T8,"")</f>
        <v>75.97798121598424</v>
      </c>
      <c r="AZ8" s="25">
        <f>SUM(AV8:AY8)</f>
        <v>303.6459794496984</v>
      </c>
      <c r="BA8" t="str">
        <f>IF(AND(AV8&gt;0,AW8&gt;0,AX8&gt;0,(AP8&gt;=4)),"Q","NQ")</f>
        <v>Q</v>
      </c>
      <c r="BB8">
        <f>IF(AZ8&gt;0,RANK(AZ8,AZ$8:AZ$86,0),"")</f>
        <v>4</v>
      </c>
      <c r="BC8" t="str">
        <f>A7</f>
        <v>Dave Powell</v>
      </c>
      <c r="BD8">
        <f>B7</f>
        <v>47</v>
      </c>
      <c r="BE8" s="24" t="s">
        <v>25</v>
      </c>
      <c r="BF8" s="24">
        <v>7</v>
      </c>
      <c r="BG8" s="24" t="s">
        <v>25</v>
      </c>
      <c r="BM8">
        <f aca="true" t="shared" si="1" ref="BM8:BM17">IF(BJ8="In",CONCATENATE(BJ8,BL8),"")</f>
      </c>
      <c r="BN8">
        <v>8</v>
      </c>
      <c r="BO8" s="108">
        <f t="shared" si="0"/>
        <v>74.14815180978528</v>
      </c>
    </row>
    <row r="9" spans="1:70" ht="12.75">
      <c r="A9" s="192" t="s">
        <v>200</v>
      </c>
      <c r="B9" s="193">
        <v>53</v>
      </c>
      <c r="C9" s="194" t="s">
        <v>36</v>
      </c>
      <c r="D9" s="195">
        <v>0</v>
      </c>
      <c r="E9" s="195">
        <v>0</v>
      </c>
      <c r="F9" s="195">
        <v>0</v>
      </c>
      <c r="G9" s="195">
        <v>0</v>
      </c>
      <c r="H9" s="195">
        <v>0</v>
      </c>
      <c r="I9" s="195">
        <v>0</v>
      </c>
      <c r="J9" s="195">
        <v>0</v>
      </c>
      <c r="K9" s="195">
        <v>0</v>
      </c>
      <c r="L9" s="195">
        <v>0</v>
      </c>
      <c r="M9" s="195">
        <v>0</v>
      </c>
      <c r="N9" s="195">
        <v>0.06392361111111111</v>
      </c>
      <c r="O9" s="195">
        <v>0</v>
      </c>
      <c r="P9" s="195">
        <v>0</v>
      </c>
      <c r="Q9" s="195">
        <v>0.06425925925925925</v>
      </c>
      <c r="R9" s="195">
        <v>0</v>
      </c>
      <c r="S9" s="196">
        <v>0</v>
      </c>
      <c r="T9" s="196">
        <v>0</v>
      </c>
      <c r="U9" s="197"/>
      <c r="V9" s="198"/>
      <c r="W9" s="4"/>
      <c r="BD9">
        <f aca="true" t="shared" si="2" ref="BD9:BD66">B8</f>
        <v>0</v>
      </c>
      <c r="BE9" s="24" t="s">
        <v>42</v>
      </c>
      <c r="BF9" s="24">
        <v>8</v>
      </c>
      <c r="BG9" s="24" t="s">
        <v>42</v>
      </c>
      <c r="BJ9">
        <f>IF(BO9&gt;0,"In","")</f>
      </c>
      <c r="BK9" s="41">
        <f>IF(BJ9="In",BO9,"")</f>
      </c>
      <c r="BL9">
        <f>IF(BJ9="In",RANK(BK9,BK$7:BK$86,1),"")</f>
      </c>
      <c r="BM9">
        <f t="shared" si="1"/>
      </c>
      <c r="BN9">
        <v>9</v>
      </c>
      <c r="BO9" s="41">
        <f t="shared" si="0"/>
        <v>0</v>
      </c>
      <c r="BP9">
        <f>BO10</f>
      </c>
      <c r="BQ9">
        <f>IF($BJ9="In",A9,"")</f>
      </c>
      <c r="BR9">
        <f>IF($BJ9="In",B9,"")</f>
      </c>
    </row>
    <row r="10" spans="1:67" ht="13.5" thickBot="1">
      <c r="A10" s="48" t="str">
        <f>CONCATENATE(A9,C10)</f>
        <v>Geoff OldridPoints</v>
      </c>
      <c r="B10" s="46"/>
      <c r="C10" s="47" t="s">
        <v>37</v>
      </c>
      <c r="D10" s="42">
        <f>IF(D9&gt;0,VLOOKUP(CONCATENATE($C$2,$B9),'Base Calculation'!$A$5:$O$89,D$5+2,FALSE)/D9*100,"")</f>
      </c>
      <c r="E10" s="42">
        <f>IF(E9&gt;0,VLOOKUP(CONCATENATE($C$2,$B9),'Base Calculation'!$A$5:$O$89,E$5+2,FALSE)/E9*100,"")</f>
      </c>
      <c r="F10" s="42">
        <f>IF(F9&gt;0,VLOOKUP(CONCATENATE($C$2,$B9),'Base Calculation'!$A$5:$O$89,F$5+2,FALSE)/F9*100,"")</f>
      </c>
      <c r="G10" s="42">
        <f>IF(G9&gt;0,VLOOKUP(CONCATENATE($C$2,$B9),'Base Calculation'!$A$5:$O$89,G$5+2,FALSE)/G9*100,"")</f>
      </c>
      <c r="H10" s="42">
        <f>IF(H9&gt;0,VLOOKUP(CONCATENATE($C$2,$B9),'Base Calculation'!$A$5:$O$89,H$5+2,FALSE)/H9*100,"")</f>
      </c>
      <c r="I10" s="42">
        <f>IF(I9&gt;0,VLOOKUP(CONCATENATE($C$2,$B9),'Base Calculation'!$A$5:$O$89,I$5+2,FALSE)/I9*100,"")</f>
      </c>
      <c r="J10" s="42">
        <f>IF(J9&gt;0,VLOOKUP(CONCATENATE($C$2,$B9),'Base Calculation'!$A$5:$O$89,J$5+2,FALSE)/J9*100,"")</f>
      </c>
      <c r="K10" s="42">
        <f>IF(K9&gt;0,VLOOKUP(CONCATENATE($C$2,$B9),'Base Calculation'!$A$5:$O$89,K$5+2,FALSE)/K9*100,"")</f>
      </c>
      <c r="L10" s="42">
        <f>IF(L9&gt;0,VLOOKUP(CONCATENATE($C$2,$B9),'Base Calculation'!$A$5:$O$89,L$5+2,FALSE)/L9*100,"")</f>
      </c>
      <c r="M10" s="42">
        <f>IF(M9&gt;0,VLOOKUP(CONCATENATE($C$2,$B9),'Base Calculation'!$A$5:$O$89,M$5+2,FALSE)/M9*100,"")</f>
      </c>
      <c r="N10" s="42">
        <f>IF(N9&gt;0,VLOOKUP(CONCATENATE($C$2,$B9),'Base Calculation'!$A$5:$O$89,N$5+2,FALSE)/N9*100,"")</f>
        <v>74.75537531086867</v>
      </c>
      <c r="O10" s="42">
        <f>IF(O9&gt;0,VLOOKUP(CONCATENATE($C$2,$B9),'Base Calculation'!$A$5:$O$89,O$5+2,FALSE)/O9*100,"")</f>
      </c>
      <c r="P10" s="42">
        <f>IF(P9&gt;0,VLOOKUP(CONCATENATE($C$2,$B9),'Base Calculation'!$A$5:$O$89,P$5+2,FALSE)/P9*100,"")</f>
      </c>
      <c r="Q10" s="42">
        <f>IF(Q9&gt;0,VLOOKUP(CONCATENATE($C$2,$B9),'Base Calculation'!$A$5:$O$89,Q$5+2,FALSE)/Q9*100,"")</f>
        <v>74.36490234905038</v>
      </c>
      <c r="R10" s="42">
        <f>IF(R9&gt;0,VLOOKUP(CONCATENATE($C$2,$B9),'Base Calculation'!$A$5:$O$89,R$5+2,FALSE)/R9*100,"")</f>
      </c>
      <c r="S10" s="42">
        <f>IF(S9&gt;0,VLOOKUP(CONCATENATE($C$2,$B9),'Base Calculation'!$A$5:$O$89,S$5+2,FALSE)/S9*100,"")</f>
      </c>
      <c r="T10" s="91">
        <f>IF(T9&gt;0,VLOOKUP(CONCATENATE($C$2,$B9),'Base Calculation'!$A$5:$O$89,U9+2,FALSE)/T9*100,"")</f>
      </c>
      <c r="U10" s="92">
        <f>IF(U9&gt;0,VLOOKUP(U9,BF$2:BG$14,2,FALSE),"")</f>
      </c>
      <c r="V10" s="93">
        <f>V9</f>
        <v>0</v>
      </c>
      <c r="W10" s="4"/>
      <c r="AP10" s="25">
        <f>17-COUNTIF(D10:T10,"")</f>
        <v>2</v>
      </c>
      <c r="AQ10" t="str">
        <f>CONCATENATE($C$2,BB10)</f>
        <v>Male25</v>
      </c>
      <c r="AS10" s="25">
        <f>SUM(D10:H10)</f>
        <v>0</v>
      </c>
      <c r="AT10" s="25">
        <f>SUM(I10:M10)</f>
        <v>0</v>
      </c>
      <c r="AU10" s="25">
        <f>SUM(N10:S10)</f>
        <v>149.12027765991905</v>
      </c>
      <c r="AV10" s="25">
        <f>IF($AS10&gt;0,LARGE(D10:H10,1),0)</f>
        <v>0</v>
      </c>
      <c r="AW10" s="25">
        <f>IF($AT10&gt;0,LARGE(I10:M10,1),0)</f>
        <v>0</v>
      </c>
      <c r="AX10" s="25">
        <f>IF($AU10&gt;0,LARGE(N10:S10,1),0)</f>
        <v>74.75537531086867</v>
      </c>
      <c r="AY10" s="25">
        <f>IF('League Summary'!$X$2=1,T10,"")</f>
      </c>
      <c r="AZ10" s="25">
        <f>SUM(AV10:AY10)</f>
        <v>74.75537531086867</v>
      </c>
      <c r="BA10" t="str">
        <f>IF(AND(AV10&gt;0,AW10&gt;0,AX10&gt;0,(AP10&gt;=4)),"Q","NQ")</f>
        <v>NQ</v>
      </c>
      <c r="BB10">
        <f>IF(AZ10&gt;0,RANK(AZ10,AZ$8:AZ$86,0),"")</f>
        <v>25</v>
      </c>
      <c r="BC10" t="str">
        <f>A9</f>
        <v>Geoff Oldrid</v>
      </c>
      <c r="BD10">
        <f t="shared" si="2"/>
        <v>53</v>
      </c>
      <c r="BE10" s="24" t="s">
        <v>23</v>
      </c>
      <c r="BF10" s="24">
        <v>9</v>
      </c>
      <c r="BG10" s="24" t="s">
        <v>23</v>
      </c>
      <c r="BM10">
        <f t="shared" si="1"/>
      </c>
      <c r="BN10">
        <v>10</v>
      </c>
      <c r="BO10" s="108">
        <f t="shared" si="0"/>
      </c>
    </row>
    <row r="11" spans="1:70" ht="12.75">
      <c r="A11" s="192" t="s">
        <v>201</v>
      </c>
      <c r="B11" s="193">
        <v>49</v>
      </c>
      <c r="C11" s="194" t="s">
        <v>36</v>
      </c>
      <c r="D11" s="195">
        <v>0.013993055555555555</v>
      </c>
      <c r="E11" s="195">
        <v>0.013946759259259258</v>
      </c>
      <c r="F11" s="195">
        <v>0</v>
      </c>
      <c r="G11" s="195">
        <v>0.014155092592592592</v>
      </c>
      <c r="H11" s="195">
        <v>0.014143518518518519</v>
      </c>
      <c r="I11" s="195">
        <v>0.023009259259259257</v>
      </c>
      <c r="J11" s="195">
        <v>0</v>
      </c>
      <c r="K11" s="195">
        <v>0</v>
      </c>
      <c r="L11" s="195">
        <v>0</v>
      </c>
      <c r="M11" s="195">
        <v>0</v>
      </c>
      <c r="N11" s="195">
        <v>0.0662962962962963</v>
      </c>
      <c r="O11" s="195">
        <v>0</v>
      </c>
      <c r="P11" s="195">
        <v>0</v>
      </c>
      <c r="Q11" s="195">
        <v>0</v>
      </c>
      <c r="R11" s="195">
        <v>0.06571759259259259</v>
      </c>
      <c r="S11" s="196">
        <v>0</v>
      </c>
      <c r="T11" s="196">
        <v>0.013993055555555555</v>
      </c>
      <c r="U11" s="197">
        <v>2</v>
      </c>
      <c r="V11" s="198" t="s">
        <v>257</v>
      </c>
      <c r="W11" s="4"/>
      <c r="BD11">
        <f t="shared" si="2"/>
        <v>0</v>
      </c>
      <c r="BE11" s="24" t="s">
        <v>43</v>
      </c>
      <c r="BF11" s="24">
        <v>10</v>
      </c>
      <c r="BG11" s="24" t="s">
        <v>43</v>
      </c>
      <c r="BJ11">
        <f>IF(BO11&gt;0,"In","")</f>
      </c>
      <c r="BK11" s="41">
        <f>IF(BJ11="In",BO11,"")</f>
      </c>
      <c r="BL11">
        <f>IF(BJ11="In",RANK(BK11,BK$7:BK$86,1),"")</f>
      </c>
      <c r="BM11">
        <f t="shared" si="1"/>
      </c>
      <c r="BN11">
        <v>11</v>
      </c>
      <c r="BO11" s="41">
        <f t="shared" si="0"/>
        <v>0</v>
      </c>
      <c r="BP11">
        <f>BO12</f>
      </c>
      <c r="BQ11">
        <f>IF($BJ11="In",A11,"")</f>
      </c>
      <c r="BR11">
        <f>IF($BJ11="In",B11,"")</f>
      </c>
    </row>
    <row r="12" spans="1:67" ht="13.5" thickBot="1">
      <c r="A12" s="48" t="str">
        <f>CONCATENATE(A11,C12)</f>
        <v>Kevin HollandPoints</v>
      </c>
      <c r="B12" s="46"/>
      <c r="C12" s="47" t="s">
        <v>37</v>
      </c>
      <c r="D12" s="42">
        <f>IF(D11&gt;0,VLOOKUP(CONCATENATE($C$2,$B11),'Base Calculation'!$A$5:$O$89,D$5+2,FALSE)/D11*100,"")</f>
        <v>72.62558165725798</v>
      </c>
      <c r="E12" s="42">
        <f>IF(E11&gt;0,VLOOKUP(CONCATENATE($C$2,$B11),'Base Calculation'!$A$5:$O$89,E$5+2,FALSE)/E11*100,"")</f>
        <v>72.86666242624473</v>
      </c>
      <c r="F12" s="42">
        <f>IF(F11&gt;0,VLOOKUP(CONCATENATE($C$2,$B11),'Base Calculation'!$A$5:$O$89,F$5+2,FALSE)/F11*100,"")</f>
      </c>
      <c r="G12" s="42">
        <f>IF(G11&gt;0,VLOOKUP(CONCATENATE($C$2,$B11),'Base Calculation'!$A$5:$O$89,G$5+2,FALSE)/G11*100,"")</f>
        <v>71.7942176808053</v>
      </c>
      <c r="H12" s="42">
        <f>IF(H11&gt;0,VLOOKUP(CONCATENATE($C$2,$B11),'Base Calculation'!$A$5:$O$89,H$5+2,FALSE)/H11*100,"")</f>
        <v>71.85296908643608</v>
      </c>
      <c r="I12" s="42">
        <f>IF(I11&gt;0,VLOOKUP(CONCATENATE($C$2,$B11),'Base Calculation'!$A$5:$O$89,I$5+2,FALSE)/I11*100,"")</f>
        <v>75.29396396412741</v>
      </c>
      <c r="J12" s="42">
        <f>IF(J11&gt;0,VLOOKUP(CONCATENATE($C$2,$B11),'Base Calculation'!$A$5:$O$89,J$5+2,FALSE)/J11*100,"")</f>
      </c>
      <c r="K12" s="42">
        <f>IF(K11&gt;0,VLOOKUP(CONCATENATE($C$2,$B11),'Base Calculation'!$A$5:$O$89,K$5+2,FALSE)/K11*100,"")</f>
      </c>
      <c r="L12" s="42">
        <f>IF(L11&gt;0,VLOOKUP(CONCATENATE($C$2,$B11),'Base Calculation'!$A$5:$O$89,L$5+2,FALSE)/L11*100,"")</f>
      </c>
      <c r="M12" s="42">
        <f>IF(M11&gt;0,VLOOKUP(CONCATENATE($C$2,$B11),'Base Calculation'!$A$5:$O$89,M$5+2,FALSE)/M11*100,"")</f>
      </c>
      <c r="N12" s="42">
        <f>IF(N11&gt;0,VLOOKUP(CONCATENATE($C$2,$B11),'Base Calculation'!$A$5:$O$89,N$5+2,FALSE)/N11*100,"")</f>
        <v>69.79698228309766</v>
      </c>
      <c r="O12" s="42">
        <f>IF(O11&gt;0,VLOOKUP(CONCATENATE($C$2,$B11),'Base Calculation'!$A$5:$O$89,O$5+2,FALSE)/O11*100,"")</f>
      </c>
      <c r="P12" s="42">
        <f>IF(P11&gt;0,VLOOKUP(CONCATENATE($C$2,$B11),'Base Calculation'!$A$5:$O$89,P$5+2,FALSE)/P11*100,"")</f>
      </c>
      <c r="Q12" s="42">
        <f>IF(Q11&gt;0,VLOOKUP(CONCATENATE($C$2,$B11),'Base Calculation'!$A$5:$O$89,Q$5+2,FALSE)/Q11*100,"")</f>
      </c>
      <c r="R12" s="42">
        <f>IF(R11&gt;0,VLOOKUP(CONCATENATE($C$2,$B11),'Base Calculation'!$A$5:$O$89,R$5+2,FALSE)/R11*100,"")</f>
        <v>70.41160875617884</v>
      </c>
      <c r="S12" s="42">
        <f>IF(S11&gt;0,VLOOKUP(CONCATENATE($C$2,$B11),'Base Calculation'!$A$5:$O$89,S$5+2,FALSE)/S11*100,"")</f>
      </c>
      <c r="T12" s="83">
        <f>IF(T11&gt;0,VLOOKUP(CONCATENATE($C$2,$B11),'Base Calculation'!$A$5:$O$89,U11+2,FALSE)/T11*100,"")</f>
        <v>72.62558165725798</v>
      </c>
      <c r="U12" s="89" t="str">
        <f>IF(U11&gt;0,VLOOKUP(U11,BF$2:BG$14,2,FALSE),"")</f>
        <v>5k</v>
      </c>
      <c r="V12" s="90" t="str">
        <f>V11</f>
        <v>Aber 5k Spring</v>
      </c>
      <c r="W12" s="4"/>
      <c r="AP12" s="25">
        <f>17-COUNTIF(D12:T12,"")</f>
        <v>8</v>
      </c>
      <c r="AQ12" t="str">
        <f>CONCATENATE($C$2,BB12)</f>
        <v>Male6</v>
      </c>
      <c r="AS12" s="25">
        <f>SUM(D12:H12)</f>
        <v>289.13943085074413</v>
      </c>
      <c r="AT12" s="25">
        <f>SUM(I12:M12)</f>
        <v>75.29396396412741</v>
      </c>
      <c r="AU12" s="25">
        <f>SUM(N12:S12)</f>
        <v>140.20859103927648</v>
      </c>
      <c r="AV12" s="25">
        <f>IF($AS12&gt;0,LARGE(D12:H12,1),0)</f>
        <v>72.86666242624473</v>
      </c>
      <c r="AW12" s="25">
        <f>IF($AT12&gt;0,LARGE(I12:M12,1),0)</f>
        <v>75.29396396412741</v>
      </c>
      <c r="AX12" s="25">
        <f>IF($AU12&gt;0,LARGE(N12:S12,1),0)</f>
        <v>70.41160875617884</v>
      </c>
      <c r="AY12" s="25">
        <f>IF('League Summary'!$X$2=1,T12,"")</f>
        <v>72.62558165725798</v>
      </c>
      <c r="AZ12" s="25">
        <f>SUM(AV12:AY12)</f>
        <v>291.197816803809</v>
      </c>
      <c r="BA12" t="str">
        <f>IF(AND(AV12&gt;0,AW12&gt;0,AX12&gt;0,(AP12&gt;=4)),"Q","NQ")</f>
        <v>Q</v>
      </c>
      <c r="BB12">
        <f>IF(AZ12&gt;0,RANK(AZ12,AZ$8:AZ$86,0),"")</f>
        <v>6</v>
      </c>
      <c r="BC12" t="str">
        <f>A11</f>
        <v>Kevin Holland</v>
      </c>
      <c r="BD12">
        <f t="shared" si="2"/>
        <v>49</v>
      </c>
      <c r="BE12" s="24" t="s">
        <v>44</v>
      </c>
      <c r="BF12" s="24">
        <v>11</v>
      </c>
      <c r="BG12" s="24" t="s">
        <v>44</v>
      </c>
      <c r="BM12">
        <f t="shared" si="1"/>
      </c>
      <c r="BN12">
        <v>12</v>
      </c>
      <c r="BO12" s="108">
        <f t="shared" si="0"/>
      </c>
    </row>
    <row r="13" spans="1:70" ht="12.75">
      <c r="A13" s="192" t="s">
        <v>202</v>
      </c>
      <c r="B13" s="193">
        <v>61</v>
      </c>
      <c r="C13" s="194" t="s">
        <v>36</v>
      </c>
      <c r="D13" s="195">
        <v>0.014270833333333335</v>
      </c>
      <c r="E13" s="195">
        <v>0.014710648148148148</v>
      </c>
      <c r="F13" s="195">
        <v>0.013784722222222224</v>
      </c>
      <c r="G13" s="195">
        <v>0.013935185185185184</v>
      </c>
      <c r="H13" s="195">
        <v>0.014537037037037038</v>
      </c>
      <c r="I13" s="195">
        <v>0.02280092592592593</v>
      </c>
      <c r="J13" s="195">
        <v>0.030243055555555554</v>
      </c>
      <c r="K13" s="195">
        <v>0.030208333333333334</v>
      </c>
      <c r="L13" s="195">
        <v>0.022037037037037036</v>
      </c>
      <c r="M13" s="195">
        <v>0.029629629629629627</v>
      </c>
      <c r="N13" s="195">
        <v>0.06640046296296297</v>
      </c>
      <c r="O13" s="195">
        <v>0</v>
      </c>
      <c r="P13" s="195">
        <v>0.04878472222222222</v>
      </c>
      <c r="Q13" s="195">
        <v>0.06520833333333333</v>
      </c>
      <c r="R13" s="195">
        <v>0.06409722222222222</v>
      </c>
      <c r="S13" s="196">
        <v>0.049756944444444444</v>
      </c>
      <c r="T13" s="196">
        <v>0.02280092592592593</v>
      </c>
      <c r="U13" s="197">
        <v>4</v>
      </c>
      <c r="V13" s="198" t="s">
        <v>256</v>
      </c>
      <c r="W13" s="4"/>
      <c r="BD13">
        <f t="shared" si="2"/>
        <v>0</v>
      </c>
      <c r="BE13" s="24" t="s">
        <v>27</v>
      </c>
      <c r="BF13" s="24">
        <v>12</v>
      </c>
      <c r="BG13" s="24" t="s">
        <v>27</v>
      </c>
      <c r="BJ13" t="str">
        <f>IF(BO13&gt;0,"In","")</f>
        <v>In</v>
      </c>
      <c r="BK13" s="41">
        <f>IF(BJ13="In",BO13,"")</f>
        <v>0.029629629629629627</v>
      </c>
      <c r="BL13">
        <f>IF(BJ13="In",RANK(BK13,BK$7:BK$86,1),"")</f>
        <v>8</v>
      </c>
      <c r="BM13" t="str">
        <f t="shared" si="1"/>
        <v>In8</v>
      </c>
      <c r="BN13">
        <v>13</v>
      </c>
      <c r="BO13" s="41">
        <f t="shared" si="0"/>
        <v>0.029629629629629627</v>
      </c>
      <c r="BP13">
        <f>BO14</f>
        <v>80.42279411764707</v>
      </c>
      <c r="BQ13" t="str">
        <f>IF($BJ13="In",A13,"")</f>
        <v>John Evans</v>
      </c>
      <c r="BR13">
        <f>IF($BJ13="In",B13,"")</f>
        <v>61</v>
      </c>
    </row>
    <row r="14" spans="1:67" ht="13.5" thickBot="1">
      <c r="A14" s="48" t="str">
        <f>CONCATENATE(A13,C14)</f>
        <v>John EvansPoints</v>
      </c>
      <c r="B14" s="46"/>
      <c r="C14" s="47" t="s">
        <v>37</v>
      </c>
      <c r="D14" s="42">
        <f>IF(D13&gt;0,VLOOKUP(CONCATENATE($C$2,$B13),'Base Calculation'!$A$5:$O$89,D$5+2,FALSE)/D13*100,"")</f>
        <v>79.41080647535492</v>
      </c>
      <c r="E14" s="42">
        <f>IF(E13&gt;0,VLOOKUP(CONCATENATE($C$2,$B13),'Base Calculation'!$A$5:$O$89,E$5+2,FALSE)/E13*100,"")</f>
        <v>77.03660455083605</v>
      </c>
      <c r="F14" s="42">
        <f>IF(F13&gt;0,VLOOKUP(CONCATENATE($C$2,$B13),'Base Calculation'!$A$5:$O$89,F$5+2,FALSE)/F13*100,"")</f>
        <v>82.21118756012814</v>
      </c>
      <c r="G14" s="42">
        <f>IF(G13&gt;0,VLOOKUP(CONCATENATE($C$2,$B13),'Base Calculation'!$A$5:$O$89,G$5+2,FALSE)/G13*100,"")</f>
        <v>81.32352523597395</v>
      </c>
      <c r="H14" s="42">
        <f>IF(H13&gt;0,VLOOKUP(CONCATENATE($C$2,$B13),'Base Calculation'!$A$5:$O$89,H$5+2,FALSE)/H13*100,"")</f>
        <v>77.95662769435718</v>
      </c>
      <c r="I14" s="42">
        <f>IF(I13&gt;0,VLOOKUP(CONCATENATE($C$2,$B13),'Base Calculation'!$A$5:$O$89,I$5+2,FALSE)/I13*100,"")</f>
        <v>84.72997424923372</v>
      </c>
      <c r="J14" s="42">
        <f>IF(J13&gt;0,VLOOKUP(CONCATENATE($C$2,$B13),'Base Calculation'!$A$5:$O$89,J$5+2,FALSE)/J13*100,"")</f>
        <v>78.79156254924473</v>
      </c>
      <c r="K14" s="42">
        <f>IF(K13&gt;0,VLOOKUP(CONCATENATE($C$2,$B13),'Base Calculation'!$A$5:$O$89,K$5+2,FALSE)/K13*100,"")</f>
        <v>78.88212756366914</v>
      </c>
      <c r="L14" s="42">
        <f>IF(L13&gt;0,VLOOKUP(CONCATENATE($C$2,$B13),'Base Calculation'!$A$5:$O$89,L$5+2,FALSE)/L13*100,"")</f>
        <v>87.66704268434373</v>
      </c>
      <c r="M14" s="42">
        <f>IF(M13&gt;0,VLOOKUP(CONCATENATE($C$2,$B13),'Base Calculation'!$A$5:$O$89,M$5+2,FALSE)/M13*100,"")</f>
        <v>80.42279411764707</v>
      </c>
      <c r="N14" s="42">
        <f>IF(N13&gt;0,VLOOKUP(CONCATENATE($C$2,$B13),'Base Calculation'!$A$5:$O$89,N$5+2,FALSE)/N13*100,"")</f>
        <v>77.71083297337027</v>
      </c>
      <c r="O14" s="42">
        <f>IF(O13&gt;0,VLOOKUP(CONCATENATE($C$2,$B13),'Base Calculation'!$A$5:$O$89,O$5+2,FALSE)/O13*100,"")</f>
      </c>
      <c r="P14" s="42">
        <f>IF(P13&gt;0,VLOOKUP(CONCATENATE($C$2,$B13),'Base Calculation'!$A$5:$O$89,P$5+2,FALSE)/P13*100,"")</f>
        <v>79.44048136637628</v>
      </c>
      <c r="Q14" s="42">
        <f>IF(Q13&gt;0,VLOOKUP(CONCATENATE($C$2,$B13),'Base Calculation'!$A$5:$O$89,Q$5+2,FALSE)/Q13*100,"")</f>
        <v>79.13153155275565</v>
      </c>
      <c r="R14" s="42">
        <f>IF(R13&gt;0,VLOOKUP(CONCATENATE($C$2,$B13),'Base Calculation'!$A$5:$O$89,R$5+2,FALSE)/R13*100,"")</f>
        <v>80.50325907696376</v>
      </c>
      <c r="S14" s="42">
        <f>IF(S13&gt;0,VLOOKUP(CONCATENATE($C$2,$B13),'Base Calculation'!$A$5:$O$89,S$5+2,FALSE)/S13*100,"")</f>
        <v>77.88825981839406</v>
      </c>
      <c r="T14" s="91">
        <f>IF(T13&gt;0,VLOOKUP(CONCATENATE($C$2,$B13),'Base Calculation'!$A$5:$O$89,U13+2,FALSE)/T13*100,"")</f>
        <v>84.72997424923372</v>
      </c>
      <c r="U14" s="92" t="str">
        <f>IF(U13&gt;0,VLOOKUP(U13,BF$2:BG$14,2,FALSE),"")</f>
        <v>5 Mile</v>
      </c>
      <c r="V14" s="93" t="str">
        <f>V13</f>
        <v>Rhayder 5 Mile</v>
      </c>
      <c r="W14" s="4"/>
      <c r="AP14" s="25">
        <f>17-COUNTIF(D14:T14,"")</f>
        <v>16</v>
      </c>
      <c r="AQ14" t="str">
        <f>CONCATENATE($C$2,BB14)</f>
        <v>Male2</v>
      </c>
      <c r="AS14" s="25">
        <f>SUM(D14:H14)</f>
        <v>397.9387515166502</v>
      </c>
      <c r="AT14" s="25">
        <f>SUM(I14:M14)</f>
        <v>410.49350116413837</v>
      </c>
      <c r="AU14" s="25">
        <f>SUM(N14:S14)</f>
        <v>394.67436478786</v>
      </c>
      <c r="AV14" s="25">
        <f>IF($AS14&gt;0,LARGE(D14:H14,1),0)</f>
        <v>82.21118756012814</v>
      </c>
      <c r="AW14" s="25">
        <f>IF($AT14&gt;0,LARGE(I14:M14,1),0)</f>
        <v>87.66704268434373</v>
      </c>
      <c r="AX14" s="25">
        <f>IF($AU14&gt;0,LARGE(N14:S14,1),0)</f>
        <v>80.50325907696376</v>
      </c>
      <c r="AY14" s="25">
        <f>IF('League Summary'!$X$2=1,T14,"")</f>
        <v>84.72997424923372</v>
      </c>
      <c r="AZ14" s="25">
        <f>SUM(AV14:AY14)</f>
        <v>335.11146357066934</v>
      </c>
      <c r="BA14" t="str">
        <f>IF(AND(AV14&gt;0,AW14&gt;0,AX14&gt;0,(AP14&gt;=4)),"Q","NQ")</f>
        <v>Q</v>
      </c>
      <c r="BB14">
        <f>IF(AZ14&gt;0,RANK(AZ14,AZ$8:AZ$86,0),"")</f>
        <v>2</v>
      </c>
      <c r="BC14" t="str">
        <f>A13</f>
        <v>John Evans</v>
      </c>
      <c r="BD14">
        <f t="shared" si="2"/>
        <v>61</v>
      </c>
      <c r="BE14" s="24" t="s">
        <v>54</v>
      </c>
      <c r="BF14" s="24">
        <v>13</v>
      </c>
      <c r="BG14" s="24" t="s">
        <v>54</v>
      </c>
      <c r="BM14">
        <f t="shared" si="1"/>
      </c>
      <c r="BN14">
        <v>14</v>
      </c>
      <c r="BO14" s="108">
        <f t="shared" si="0"/>
        <v>80.42279411764707</v>
      </c>
    </row>
    <row r="15" spans="1:70" ht="12.75">
      <c r="A15" s="192" t="s">
        <v>203</v>
      </c>
      <c r="B15" s="193">
        <v>39</v>
      </c>
      <c r="C15" s="194" t="s">
        <v>36</v>
      </c>
      <c r="D15" s="195">
        <v>0</v>
      </c>
      <c r="E15" s="195">
        <v>0</v>
      </c>
      <c r="F15" s="195">
        <v>0</v>
      </c>
      <c r="G15" s="195">
        <v>0</v>
      </c>
      <c r="H15" s="195">
        <v>0.014375</v>
      </c>
      <c r="I15" s="195">
        <v>0</v>
      </c>
      <c r="J15" s="195">
        <v>0</v>
      </c>
      <c r="K15" s="195">
        <v>0</v>
      </c>
      <c r="L15" s="195">
        <v>0</v>
      </c>
      <c r="M15" s="195">
        <v>0.030659722222222224</v>
      </c>
      <c r="N15" s="195">
        <v>0.06722222222222222</v>
      </c>
      <c r="O15" s="195">
        <v>0</v>
      </c>
      <c r="P15" s="195">
        <v>0</v>
      </c>
      <c r="Q15" s="195">
        <v>0.06414351851851852</v>
      </c>
      <c r="R15" s="195">
        <v>0.0705324074074074</v>
      </c>
      <c r="S15" s="196">
        <v>0</v>
      </c>
      <c r="T15" s="196">
        <v>0.06722222222222222</v>
      </c>
      <c r="U15" s="197">
        <v>9</v>
      </c>
      <c r="V15" s="198" t="s">
        <v>30</v>
      </c>
      <c r="W15" s="4"/>
      <c r="BD15">
        <f t="shared" si="2"/>
        <v>0</v>
      </c>
      <c r="BJ15" t="str">
        <f>IF(BO15&gt;0,"In","")</f>
        <v>In</v>
      </c>
      <c r="BK15" s="41">
        <f>IF(BJ15="In",BO15,"")</f>
        <v>0.030659722222222224</v>
      </c>
      <c r="BL15">
        <f>IF(BJ15="In",RANK(BK15,BK$7:BK$86,1),"")</f>
        <v>11</v>
      </c>
      <c r="BM15" t="str">
        <f t="shared" si="1"/>
        <v>In11</v>
      </c>
      <c r="BN15">
        <v>15</v>
      </c>
      <c r="BO15" s="41">
        <f t="shared" si="0"/>
        <v>0.030659722222222224</v>
      </c>
      <c r="BP15">
        <f aca="true" t="shared" si="3" ref="BP15:BP65">BO16</f>
        <v>65.1576971408182</v>
      </c>
      <c r="BQ15" t="str">
        <f>IF($BJ15="In",A15,"")</f>
        <v>Arwel James</v>
      </c>
      <c r="BR15">
        <f>IF($BJ15="In",B15,"")</f>
        <v>39</v>
      </c>
    </row>
    <row r="16" spans="1:67" ht="13.5" thickBot="1">
      <c r="A16" s="48" t="str">
        <f>CONCATENATE(A15,C16)</f>
        <v>Arwel JamesPoints</v>
      </c>
      <c r="B16" s="46"/>
      <c r="C16" s="47" t="s">
        <v>37</v>
      </c>
      <c r="D16" s="42">
        <f>IF(D15&gt;0,VLOOKUP(CONCATENATE($C$2,$B15),'Base Calculation'!$A$5:$O$89,D$5+2,FALSE)/D15*100,"")</f>
      </c>
      <c r="E16" s="42">
        <f>IF(E15&gt;0,VLOOKUP(CONCATENATE($C$2,$B15),'Base Calculation'!$A$5:$O$89,E$5+2,FALSE)/E15*100,"")</f>
      </c>
      <c r="F16" s="42">
        <f>IF(F15&gt;0,VLOOKUP(CONCATENATE($C$2,$B15),'Base Calculation'!$A$5:$O$89,F$5+2,FALSE)/F15*100,"")</f>
      </c>
      <c r="G16" s="42">
        <f>IF(G15&gt;0,VLOOKUP(CONCATENATE($C$2,$B15),'Base Calculation'!$A$5:$O$89,G$5+2,FALSE)/G15*100,"")</f>
      </c>
      <c r="H16" s="42">
        <f>IF(H15&gt;0,VLOOKUP(CONCATENATE($C$2,$B15),'Base Calculation'!$A$5:$O$89,H$5+2,FALSE)/H15*100,"")</f>
        <v>66.09211493070933</v>
      </c>
      <c r="I16" s="42">
        <f>IF(I15&gt;0,VLOOKUP(CONCATENATE($C$2,$B15),'Base Calculation'!$A$5:$O$89,I$5+2,FALSE)/I15*100,"")</f>
      </c>
      <c r="J16" s="42">
        <f>IF(J15&gt;0,VLOOKUP(CONCATENATE($C$2,$B15),'Base Calculation'!$A$5:$O$89,J$5+2,FALSE)/J15*100,"")</f>
      </c>
      <c r="K16" s="42">
        <f>IF(K15&gt;0,VLOOKUP(CONCATENATE($C$2,$B15),'Base Calculation'!$A$5:$O$89,K$5+2,FALSE)/K15*100,"")</f>
      </c>
      <c r="L16" s="42">
        <f>IF(L15&gt;0,VLOOKUP(CONCATENATE($C$2,$B15),'Base Calculation'!$A$5:$O$89,L$5+2,FALSE)/L15*100,"")</f>
      </c>
      <c r="M16" s="42">
        <f>IF(M15&gt;0,VLOOKUP(CONCATENATE($C$2,$B15),'Base Calculation'!$A$5:$O$89,M$5+2,FALSE)/M15*100,"")</f>
        <v>65.1576971408182</v>
      </c>
      <c r="N16" s="42">
        <f>IF(N15&gt;0,VLOOKUP(CONCATENATE($C$2,$B15),'Base Calculation'!$A$5:$O$89,N$5+2,FALSE)/N15*100,"")</f>
        <v>64.35293639527762</v>
      </c>
      <c r="O16" s="42">
        <f>IF(O15&gt;0,VLOOKUP(CONCATENATE($C$2,$B15),'Base Calculation'!$A$5:$O$89,O$5+2,FALSE)/O15*100,"")</f>
      </c>
      <c r="P16" s="42">
        <f>IF(P15&gt;0,VLOOKUP(CONCATENATE($C$2,$B15),'Base Calculation'!$A$5:$O$89,P$5+2,FALSE)/P15*100,"")</f>
      </c>
      <c r="Q16" s="42">
        <f>IF(Q15&gt;0,VLOOKUP(CONCATENATE($C$2,$B15),'Base Calculation'!$A$5:$O$89,Q$5+2,FALSE)/Q15*100,"")</f>
        <v>67.44169155246706</v>
      </c>
      <c r="R16" s="42">
        <f>IF(R15&gt;0,VLOOKUP(CONCATENATE($C$2,$B15),'Base Calculation'!$A$5:$O$89,R$5+2,FALSE)/R15*100,"")</f>
        <v>61.332762485029946</v>
      </c>
      <c r="S16" s="42">
        <f>IF(S15&gt;0,VLOOKUP(CONCATENATE($C$2,$B15),'Base Calculation'!$A$5:$O$89,S$5+2,FALSE)/S15*100,"")</f>
      </c>
      <c r="T16" s="83">
        <f>IF(T15&gt;0,VLOOKUP(CONCATENATE($C$2,$B15),'Base Calculation'!$A$5:$O$89,U15+2,FALSE)/T15*100,"")</f>
        <v>64.35293639527762</v>
      </c>
      <c r="U16" s="89" t="str">
        <f>IF(U15&gt;0,VLOOKUP(U15,BF$2:BG$14,2,FALSE),"")</f>
        <v>Half Marathon</v>
      </c>
      <c r="V16" s="90" t="str">
        <f>V15</f>
        <v>Ras Cors Caron</v>
      </c>
      <c r="W16" s="4"/>
      <c r="AP16" s="25">
        <f>17-COUNTIF(D16:T16,"")</f>
        <v>6</v>
      </c>
      <c r="AQ16" t="str">
        <f>CONCATENATE($C$2,BB16)</f>
        <v>Male10</v>
      </c>
      <c r="AS16" s="25">
        <f>SUM(D16:H16)</f>
        <v>66.09211493070933</v>
      </c>
      <c r="AT16" s="25">
        <f>SUM(I16:M16)</f>
        <v>65.1576971408182</v>
      </c>
      <c r="AU16" s="25">
        <f>SUM(N16:S16)</f>
        <v>193.12739043277463</v>
      </c>
      <c r="AV16" s="25">
        <f>IF($AS16&gt;0,LARGE(D16:H16,1),0)</f>
        <v>66.09211493070933</v>
      </c>
      <c r="AW16" s="25">
        <f>IF($AT16&gt;0,LARGE(I16:M16,1),0)</f>
        <v>65.1576971408182</v>
      </c>
      <c r="AX16" s="25">
        <f>IF($AU16&gt;0,LARGE(N16:S16,1),0)</f>
        <v>67.44169155246706</v>
      </c>
      <c r="AY16" s="25">
        <f>IF('League Summary'!$X$2=1,T16,"")</f>
        <v>64.35293639527762</v>
      </c>
      <c r="AZ16" s="25">
        <f>SUM(AV16:AY16)</f>
        <v>263.0444400192722</v>
      </c>
      <c r="BA16" t="str">
        <f>IF(AND(AV16&gt;0,AW16&gt;0,AX16&gt;0,(AP16&gt;=4)),"Q","NQ")</f>
        <v>Q</v>
      </c>
      <c r="BB16">
        <f>IF(AZ16&gt;0,RANK(AZ16,AZ$8:AZ$86,0),"")</f>
        <v>10</v>
      </c>
      <c r="BC16" t="str">
        <f>A15</f>
        <v>Arwel James</v>
      </c>
      <c r="BD16">
        <f t="shared" si="2"/>
        <v>39</v>
      </c>
      <c r="BM16">
        <f t="shared" si="1"/>
      </c>
      <c r="BN16">
        <v>16</v>
      </c>
      <c r="BO16" s="108">
        <f t="shared" si="0"/>
        <v>65.1576971408182</v>
      </c>
    </row>
    <row r="17" spans="1:70" ht="12.75">
      <c r="A17" s="192" t="s">
        <v>204</v>
      </c>
      <c r="B17" s="193">
        <v>34</v>
      </c>
      <c r="C17" s="194" t="s">
        <v>36</v>
      </c>
      <c r="D17" s="195">
        <v>0.014155092592592592</v>
      </c>
      <c r="E17" s="195">
        <v>0</v>
      </c>
      <c r="F17" s="195">
        <v>0</v>
      </c>
      <c r="G17" s="195">
        <v>0</v>
      </c>
      <c r="H17" s="195">
        <v>0</v>
      </c>
      <c r="I17" s="195">
        <v>0</v>
      </c>
      <c r="J17" s="195">
        <v>0.02974537037037037</v>
      </c>
      <c r="K17" s="195">
        <v>0.029768518518518517</v>
      </c>
      <c r="L17" s="195">
        <v>0.02355324074074074</v>
      </c>
      <c r="M17" s="195">
        <v>0</v>
      </c>
      <c r="N17" s="195">
        <v>0.0706712962962963</v>
      </c>
      <c r="O17" s="195">
        <v>0</v>
      </c>
      <c r="P17" s="195">
        <v>0</v>
      </c>
      <c r="Q17" s="195">
        <v>0</v>
      </c>
      <c r="R17" s="195">
        <v>0</v>
      </c>
      <c r="S17" s="196">
        <v>0</v>
      </c>
      <c r="T17" s="196">
        <v>0.02974537037037037</v>
      </c>
      <c r="U17" s="197">
        <v>5</v>
      </c>
      <c r="V17" s="198" t="s">
        <v>262</v>
      </c>
      <c r="W17" s="4"/>
      <c r="BD17">
        <f t="shared" si="2"/>
        <v>0</v>
      </c>
      <c r="BJ17">
        <f>IF(BO17&gt;0,"In","")</f>
      </c>
      <c r="BK17" s="41">
        <f>IF(BJ17="In",BO17,"")</f>
      </c>
      <c r="BL17">
        <f>IF(BJ17="In",RANK(BK17,BK$7:BK$86,1),"")</f>
      </c>
      <c r="BM17">
        <f t="shared" si="1"/>
      </c>
      <c r="BN17">
        <v>17</v>
      </c>
      <c r="BO17" s="41">
        <f t="shared" si="0"/>
        <v>0</v>
      </c>
      <c r="BP17">
        <f t="shared" si="3"/>
      </c>
      <c r="BQ17">
        <f>IF($BJ17="In",A17,"")</f>
      </c>
      <c r="BR17">
        <f>IF($BJ17="In",B17,"")</f>
      </c>
    </row>
    <row r="18" spans="1:67" ht="13.5" thickBot="1">
      <c r="A18" s="48" t="str">
        <f>CONCATENATE(A17,C18)</f>
        <v>Martyn SaycellPoints</v>
      </c>
      <c r="B18" s="46"/>
      <c r="C18" s="47" t="s">
        <v>37</v>
      </c>
      <c r="D18" s="42">
        <f>IF(D17&gt;0,VLOOKUP(CONCATENATE($C$2,$B17),'Base Calculation'!$A$5:$O$89,D$5+2,FALSE)/D17*100,"")</f>
        <v>65.13532050967427</v>
      </c>
      <c r="E18" s="42">
        <f>IF(E17&gt;0,VLOOKUP(CONCATENATE($C$2,$B17),'Base Calculation'!$A$5:$O$89,E$5+2,FALSE)/E17*100,"")</f>
      </c>
      <c r="F18" s="42">
        <f>IF(F17&gt;0,VLOOKUP(CONCATENATE($C$2,$B17),'Base Calculation'!$A$5:$O$89,F$5+2,FALSE)/F17*100,"")</f>
      </c>
      <c r="G18" s="42">
        <f>IF(G17&gt;0,VLOOKUP(CONCATENATE($C$2,$B17),'Base Calculation'!$A$5:$O$89,G$5+2,FALSE)/G17*100,"")</f>
      </c>
      <c r="H18" s="42">
        <f>IF(H17&gt;0,VLOOKUP(CONCATENATE($C$2,$B17),'Base Calculation'!$A$5:$O$89,H$5+2,FALSE)/H17*100,"")</f>
      </c>
      <c r="I18" s="42">
        <f>IF(I17&gt;0,VLOOKUP(CONCATENATE($C$2,$B17),'Base Calculation'!$A$5:$O$89,I$5+2,FALSE)/I17*100,"")</f>
      </c>
      <c r="J18" s="42">
        <f>IF(J17&gt;0,VLOOKUP(CONCATENATE($C$2,$B17),'Base Calculation'!$A$5:$O$89,J$5+2,FALSE)/J17*100,"")</f>
        <v>65.17579359884577</v>
      </c>
      <c r="K18" s="42">
        <f>IF(K17&gt;0,VLOOKUP(CONCATENATE($C$2,$B17),'Base Calculation'!$A$5:$O$89,K$5+2,FALSE)/K17*100,"")</f>
        <v>65.12511257738478</v>
      </c>
      <c r="L18" s="42">
        <f>IF(L17&gt;0,VLOOKUP(CONCATENATE($C$2,$B17),'Base Calculation'!$A$5:$O$89,L$5+2,FALSE)/L17*100,"")</f>
        <v>66.7327796891147</v>
      </c>
      <c r="M18" s="42">
        <f>IF(M17&gt;0,VLOOKUP(CONCATENATE($C$2,$B17),'Base Calculation'!$A$5:$O$89,M$5+2,FALSE)/M17*100,"")</f>
      </c>
      <c r="N18" s="42">
        <f>IF(N17&gt;0,VLOOKUP(CONCATENATE($C$2,$B17),'Base Calculation'!$A$5:$O$89,N$5+2,FALSE)/N17*100,"")</f>
        <v>59.40321390981771</v>
      </c>
      <c r="O18" s="42">
        <f>IF(O17&gt;0,VLOOKUP(CONCATENATE($C$2,$B17),'Base Calculation'!$A$5:$O$89,O$5+2,FALSE)/O17*100,"")</f>
      </c>
      <c r="P18" s="42">
        <f>IF(P17&gt;0,VLOOKUP(CONCATENATE($C$2,$B17),'Base Calculation'!$A$5:$O$89,P$5+2,FALSE)/P17*100,"")</f>
      </c>
      <c r="Q18" s="42">
        <f>IF(Q17&gt;0,VLOOKUP(CONCATENATE($C$2,$B17),'Base Calculation'!$A$5:$O$89,Q$5+2,FALSE)/Q17*100,"")</f>
      </c>
      <c r="R18" s="42">
        <f>IF(R17&gt;0,VLOOKUP(CONCATENATE($C$2,$B17),'Base Calculation'!$A$5:$O$89,R$5+2,FALSE)/R17*100,"")</f>
      </c>
      <c r="S18" s="42">
        <f>IF(S17&gt;0,VLOOKUP(CONCATENATE($C$2,$B17),'Base Calculation'!$A$5:$O$89,S$5+2,FALSE)/S17*100,"")</f>
      </c>
      <c r="T18" s="83">
        <f>IF(T17&gt;0,VLOOKUP(CONCATENATE($C$2,$B17),'Base Calculation'!$A$5:$O$89,U17+2,FALSE)/T17*100,"")</f>
        <v>65.17579359884577</v>
      </c>
      <c r="U18" s="89" t="str">
        <f>IF(U17&gt;0,VLOOKUP(U17,BF$2:BG$14,2,FALSE),"")</f>
        <v>10k</v>
      </c>
      <c r="V18" s="90" t="str">
        <f>V17</f>
        <v>Rhas y dau sant</v>
      </c>
      <c r="W18" s="4"/>
      <c r="AP18" s="25">
        <f>17-COUNTIF(D18:T18,"")</f>
        <v>6</v>
      </c>
      <c r="AQ18" t="str">
        <f>CONCATENATE($C$2,BB18)</f>
        <v>Male13</v>
      </c>
      <c r="AS18" s="25">
        <f>SUM(D18:H18)</f>
        <v>65.13532050967427</v>
      </c>
      <c r="AT18" s="25">
        <f>SUM(I18:M18)</f>
        <v>197.03368586534526</v>
      </c>
      <c r="AU18" s="25">
        <f>SUM(N18:S18)</f>
        <v>59.40321390981771</v>
      </c>
      <c r="AV18" s="25">
        <f>IF($AS18&gt;0,LARGE(D18:H18,1),0)</f>
        <v>65.13532050967427</v>
      </c>
      <c r="AW18" s="25">
        <f>IF($AT18&gt;0,LARGE(I18:M18,1),0)</f>
        <v>66.7327796891147</v>
      </c>
      <c r="AX18" s="25">
        <f>IF($AU18&gt;0,LARGE(N18:S18,1),0)</f>
        <v>59.40321390981771</v>
      </c>
      <c r="AY18" s="25">
        <f>IF('League Summary'!$X$2=1,T18,"")</f>
        <v>65.17579359884577</v>
      </c>
      <c r="AZ18" s="25">
        <f>SUM(AV18:AY18)</f>
        <v>256.44710770745246</v>
      </c>
      <c r="BA18" t="str">
        <f>IF(AND(AV18&gt;0,AW18&gt;0,AX18&gt;0,(AP18&gt;=4)),"Q","NQ")</f>
        <v>Q</v>
      </c>
      <c r="BB18">
        <f>IF(AZ18&gt;0,RANK(AZ18,AZ$8:AZ$86,0),"")</f>
        <v>13</v>
      </c>
      <c r="BC18" t="str">
        <f>A17</f>
        <v>Martyn Saycell</v>
      </c>
      <c r="BD18">
        <f t="shared" si="2"/>
        <v>34</v>
      </c>
      <c r="BN18">
        <v>18</v>
      </c>
      <c r="BO18" s="108">
        <f t="shared" si="0"/>
      </c>
    </row>
    <row r="19" spans="1:70" ht="12.75">
      <c r="A19" s="192" t="s">
        <v>205</v>
      </c>
      <c r="B19" s="193">
        <v>53</v>
      </c>
      <c r="C19" s="194" t="s">
        <v>36</v>
      </c>
      <c r="D19" s="195">
        <v>0</v>
      </c>
      <c r="E19" s="195">
        <v>0</v>
      </c>
      <c r="F19" s="195">
        <v>0.014722222222222222</v>
      </c>
      <c r="G19" s="195">
        <v>0</v>
      </c>
      <c r="H19" s="195">
        <v>0</v>
      </c>
      <c r="I19" s="195">
        <v>0</v>
      </c>
      <c r="J19" s="195">
        <v>0.031215277777777783</v>
      </c>
      <c r="K19" s="195">
        <v>0</v>
      </c>
      <c r="L19" s="195">
        <v>0.023865740740740743</v>
      </c>
      <c r="M19" s="195">
        <v>0.03096064814814815</v>
      </c>
      <c r="N19" s="195">
        <v>0.07186342592592593</v>
      </c>
      <c r="O19" s="195">
        <v>0.11818287037037038</v>
      </c>
      <c r="P19" s="195">
        <v>0</v>
      </c>
      <c r="Q19" s="195">
        <v>0</v>
      </c>
      <c r="R19" s="195">
        <v>0</v>
      </c>
      <c r="S19" s="196">
        <v>0.051354166666666666</v>
      </c>
      <c r="T19" s="196">
        <v>0.03096064814814815</v>
      </c>
      <c r="U19" s="197">
        <v>5</v>
      </c>
      <c r="V19" s="198" t="s">
        <v>18</v>
      </c>
      <c r="W19" s="4"/>
      <c r="BD19">
        <f t="shared" si="2"/>
        <v>0</v>
      </c>
      <c r="BJ19" t="str">
        <f>IF(BO19&gt;0,"In","")</f>
        <v>In</v>
      </c>
      <c r="BK19" s="41">
        <f>IF(BJ19="In",BO19,"")</f>
        <v>0.03096064814814815</v>
      </c>
      <c r="BL19">
        <f>IF(BJ19="In",RANK(BK19,BK$7:BK$86,1),"")</f>
        <v>12</v>
      </c>
      <c r="BM19" t="str">
        <f>CONCATENATE(BJ19,BL19)</f>
        <v>In12</v>
      </c>
      <c r="BN19">
        <v>19</v>
      </c>
      <c r="BO19" s="41">
        <f t="shared" si="0"/>
        <v>0.03096064814814815</v>
      </c>
      <c r="BP19">
        <f t="shared" si="3"/>
        <v>71.27650431825523</v>
      </c>
      <c r="BQ19" t="str">
        <f>IF($BJ19="In",A19,"")</f>
        <v>Tony Wenlock</v>
      </c>
      <c r="BR19">
        <f>IF($BJ19="In",B19,"")</f>
        <v>53</v>
      </c>
    </row>
    <row r="20" spans="1:67" ht="13.5" thickBot="1">
      <c r="A20" s="48" t="str">
        <f>CONCATENATE(A19,C20)</f>
        <v>Tony WenlockPoints</v>
      </c>
      <c r="B20" s="46"/>
      <c r="C20" s="47" t="s">
        <v>37</v>
      </c>
      <c r="D20" s="42">
        <f>IF(D19&gt;0,VLOOKUP(CONCATENATE($C$2,$B19),'Base Calculation'!$A$5:$O$89,D$5+2,FALSE)/D19*100,"")</f>
      </c>
      <c r="E20" s="42">
        <f>IF(E19&gt;0,VLOOKUP(CONCATENATE($C$2,$B19),'Base Calculation'!$A$5:$O$89,E$5+2,FALSE)/E19*100,"")</f>
      </c>
      <c r="F20" s="42">
        <f>IF(F19&gt;0,VLOOKUP(CONCATENATE($C$2,$B19),'Base Calculation'!$A$5:$O$89,F$5+2,FALSE)/F19*100,"")</f>
        <v>71.28639083317411</v>
      </c>
      <c r="G20" s="42">
        <f>IF(G19&gt;0,VLOOKUP(CONCATENATE($C$2,$B19),'Base Calculation'!$A$5:$O$89,G$5+2,FALSE)/G19*100,"")</f>
      </c>
      <c r="H20" s="42">
        <f>IF(H19&gt;0,VLOOKUP(CONCATENATE($C$2,$B19),'Base Calculation'!$A$5:$O$89,H$5+2,FALSE)/H19*100,"")</f>
      </c>
      <c r="I20" s="42">
        <f>IF(I19&gt;0,VLOOKUP(CONCATENATE($C$2,$B19),'Base Calculation'!$A$5:$O$89,I$5+2,FALSE)/I19*100,"")</f>
      </c>
      <c r="J20" s="42">
        <f>IF(J19&gt;0,VLOOKUP(CONCATENATE($C$2,$B19),'Base Calculation'!$A$5:$O$89,J$5+2,FALSE)/J19*100,"")</f>
        <v>70.69508678210336</v>
      </c>
      <c r="K20" s="42">
        <f>IF(K19&gt;0,VLOOKUP(CONCATENATE($C$2,$B19),'Base Calculation'!$A$5:$O$89,K$5+2,FALSE)/K19*100,"")</f>
      </c>
      <c r="L20" s="42">
        <f>IF(L19&gt;0,VLOOKUP(CONCATENATE($C$2,$B19),'Base Calculation'!$A$5:$O$89,L$5+2,FALSE)/L19*100,"")</f>
        <v>74.96623414687126</v>
      </c>
      <c r="M20" s="42">
        <f>IF(M19&gt;0,VLOOKUP(CONCATENATE($C$2,$B19),'Base Calculation'!$A$5:$O$89,M$5+2,FALSE)/M19*100,"")</f>
        <v>71.27650431825523</v>
      </c>
      <c r="N20" s="42">
        <f>IF(N19&gt;0,VLOOKUP(CONCATENATE($C$2,$B19),'Base Calculation'!$A$5:$O$89,N$5+2,FALSE)/N19*100,"")</f>
        <v>66.49604410403087</v>
      </c>
      <c r="O20" s="42">
        <f>IF(O19&gt;0,VLOOKUP(CONCATENATE($C$2,$B19),'Base Calculation'!$A$5:$O$89,O$5+2,FALSE)/O19*100,"")</f>
        <v>64.9675743660258</v>
      </c>
      <c r="P20" s="42">
        <f>IF(P19&gt;0,VLOOKUP(CONCATENATE($C$2,$B19),'Base Calculation'!$A$5:$O$89,P$5+2,FALSE)/P19*100,"")</f>
      </c>
      <c r="Q20" s="42">
        <f>IF(Q19&gt;0,VLOOKUP(CONCATENATE($C$2,$B19),'Base Calculation'!$A$5:$O$89,Q$5+2,FALSE)/Q19*100,"")</f>
      </c>
      <c r="R20" s="42">
        <f>IF(R19&gt;0,VLOOKUP(CONCATENATE($C$2,$B19),'Base Calculation'!$A$5:$O$89,R$5+2,FALSE)/R19*100,"")</f>
      </c>
      <c r="S20" s="42">
        <f>IF(S19&gt;0,VLOOKUP(CONCATENATE($C$2,$B19),'Base Calculation'!$A$5:$O$89,S$5+2,FALSE)/S19*100,"")</f>
        <v>69.88775224225174</v>
      </c>
      <c r="T20" s="91">
        <f>IF(T19&gt;0,VLOOKUP(CONCATENATE($C$2,$B19),'Base Calculation'!$A$5:$O$89,U19+2,FALSE)/T19*100,"")</f>
        <v>71.27650431825523</v>
      </c>
      <c r="U20" s="92" t="str">
        <f>IF(U19&gt;0,VLOOKUP(U19,BF$2:BG$14,2,FALSE),"")</f>
        <v>10k</v>
      </c>
      <c r="V20" s="93" t="str">
        <f>V19</f>
        <v>Aberystwyth 10k</v>
      </c>
      <c r="W20" s="4"/>
      <c r="AP20" s="25">
        <f>17-COUNTIF(D20:T20,"")</f>
        <v>8</v>
      </c>
      <c r="AQ20" t="str">
        <f>CONCATENATE($C$2,BB20)</f>
        <v>Male7</v>
      </c>
      <c r="AS20" s="25">
        <f>SUM(D20:H20)</f>
        <v>71.28639083317411</v>
      </c>
      <c r="AT20" s="25">
        <f>SUM(I20:M20)</f>
        <v>216.93782524722985</v>
      </c>
      <c r="AU20" s="25">
        <f>SUM(N20:S20)</f>
        <v>201.3513707123084</v>
      </c>
      <c r="AV20" s="25">
        <f>IF($AS20&gt;0,LARGE(D20:H20,1),0)</f>
        <v>71.28639083317411</v>
      </c>
      <c r="AW20" s="25">
        <f>IF($AT20&gt;0,LARGE(I20:M20,1),0)</f>
        <v>74.96623414687126</v>
      </c>
      <c r="AX20" s="25">
        <f>IF($AU20&gt;0,LARGE(N20:S20,1),0)</f>
        <v>69.88775224225174</v>
      </c>
      <c r="AY20" s="25">
        <f>IF('League Summary'!$X$2=1,T20,"")</f>
        <v>71.27650431825523</v>
      </c>
      <c r="AZ20" s="25">
        <f>SUM(AV20:AY20)</f>
        <v>287.41688154055237</v>
      </c>
      <c r="BA20" t="str">
        <f>IF(AND(AV20&gt;0,AW20&gt;0,AX20&gt;0,(AP20&gt;=4)),"Q","NQ")</f>
        <v>Q</v>
      </c>
      <c r="BB20">
        <f>IF(AZ20&gt;0,RANK(AZ20,AZ$8:AZ$86,0),"")</f>
        <v>7</v>
      </c>
      <c r="BC20" t="str">
        <f>A19</f>
        <v>Tony Wenlock</v>
      </c>
      <c r="BD20">
        <f t="shared" si="2"/>
        <v>53</v>
      </c>
      <c r="BN20">
        <v>20</v>
      </c>
      <c r="BO20" s="108">
        <f t="shared" si="0"/>
        <v>71.27650431825523</v>
      </c>
    </row>
    <row r="21" spans="1:70" ht="12.75">
      <c r="A21" s="192" t="s">
        <v>206</v>
      </c>
      <c r="B21" s="193">
        <v>51</v>
      </c>
      <c r="C21" s="194" t="s">
        <v>36</v>
      </c>
      <c r="D21" s="195">
        <v>0</v>
      </c>
      <c r="E21" s="195">
        <v>0</v>
      </c>
      <c r="F21" s="195">
        <v>0</v>
      </c>
      <c r="G21" s="195">
        <v>0</v>
      </c>
      <c r="H21" s="195">
        <v>0</v>
      </c>
      <c r="I21" s="195">
        <v>0</v>
      </c>
      <c r="J21" s="195">
        <v>0.03163194444444444</v>
      </c>
      <c r="K21" s="195">
        <v>0</v>
      </c>
      <c r="L21" s="195">
        <v>0</v>
      </c>
      <c r="M21" s="195">
        <v>0.032824074074074075</v>
      </c>
      <c r="N21" s="195">
        <v>0.07905092592592593</v>
      </c>
      <c r="O21" s="195">
        <v>0</v>
      </c>
      <c r="P21" s="195">
        <v>0.057708333333333334</v>
      </c>
      <c r="Q21" s="195">
        <v>0</v>
      </c>
      <c r="R21" s="195">
        <v>0.07650462962962963</v>
      </c>
      <c r="S21" s="196">
        <v>0.05493055555555556</v>
      </c>
      <c r="T21" s="196">
        <v>0</v>
      </c>
      <c r="U21" s="197"/>
      <c r="V21" s="198"/>
      <c r="W21" s="4"/>
      <c r="BD21">
        <f t="shared" si="2"/>
        <v>0</v>
      </c>
      <c r="BJ21" t="str">
        <f>IF(BO21&gt;0,"In","")</f>
        <v>In</v>
      </c>
      <c r="BK21" s="41">
        <f>IF(BJ21="In",BO21,"")</f>
        <v>0.032824074074074075</v>
      </c>
      <c r="BL21">
        <f>IF(BJ21="In",RANK(BK21,BK$7:BK$86,1),"")</f>
        <v>16</v>
      </c>
      <c r="BM21" t="str">
        <f>CONCATENATE(BJ21,BL21)</f>
        <v>In16</v>
      </c>
      <c r="BN21">
        <v>21</v>
      </c>
      <c r="BO21" s="41">
        <f t="shared" si="0"/>
        <v>0.032824074074074075</v>
      </c>
      <c r="BP21">
        <f t="shared" si="3"/>
        <v>66.12181430507911</v>
      </c>
      <c r="BQ21" t="str">
        <f>IF($BJ21="In",A21,"")</f>
        <v>Clive Williams</v>
      </c>
      <c r="BR21">
        <f>IF($BJ21="In",B21,"")</f>
        <v>51</v>
      </c>
    </row>
    <row r="22" spans="1:67" ht="13.5" thickBot="1">
      <c r="A22" s="48" t="str">
        <f>CONCATENATE(A21,C22)</f>
        <v>Clive WilliamsPoints</v>
      </c>
      <c r="B22" s="46"/>
      <c r="C22" s="47" t="s">
        <v>37</v>
      </c>
      <c r="D22" s="42">
        <f>IF(D21&gt;0,VLOOKUP(CONCATENATE($C$2,$B21),'Base Calculation'!$A$5:$O$89,D$5+2,FALSE)/D21*100,"")</f>
      </c>
      <c r="E22" s="42">
        <f>IF(E21&gt;0,VLOOKUP(CONCATENATE($C$2,$B21),'Base Calculation'!$A$5:$O$89,E$5+2,FALSE)/E21*100,"")</f>
      </c>
      <c r="F22" s="42">
        <f>IF(F21&gt;0,VLOOKUP(CONCATENATE($C$2,$B21),'Base Calculation'!$A$5:$O$89,F$5+2,FALSE)/F21*100,"")</f>
      </c>
      <c r="G22" s="42">
        <f>IF(G21&gt;0,VLOOKUP(CONCATENATE($C$2,$B21),'Base Calculation'!$A$5:$O$89,G$5+2,FALSE)/G21*100,"")</f>
      </c>
      <c r="H22" s="42">
        <f>IF(H21&gt;0,VLOOKUP(CONCATENATE($C$2,$B21),'Base Calculation'!$A$5:$O$89,H$5+2,FALSE)/H21*100,"")</f>
      </c>
      <c r="I22" s="42">
        <f>IF(I21&gt;0,VLOOKUP(CONCATENATE($C$2,$B21),'Base Calculation'!$A$5:$O$89,I$5+2,FALSE)/I21*100,"")</f>
      </c>
      <c r="J22" s="42">
        <f>IF(J21&gt;0,VLOOKUP(CONCATENATE($C$2,$B21),'Base Calculation'!$A$5:$O$89,J$5+2,FALSE)/J21*100,"")</f>
        <v>68.61378169381791</v>
      </c>
      <c r="K22" s="42">
        <f>IF(K21&gt;0,VLOOKUP(CONCATENATE($C$2,$B21),'Base Calculation'!$A$5:$O$89,K$5+2,FALSE)/K21*100,"")</f>
      </c>
      <c r="L22" s="42">
        <f>IF(L21&gt;0,VLOOKUP(CONCATENATE($C$2,$B21),'Base Calculation'!$A$5:$O$89,L$5+2,FALSE)/L21*100,"")</f>
      </c>
      <c r="M22" s="42">
        <f>IF(M21&gt;0,VLOOKUP(CONCATENATE($C$2,$B21),'Base Calculation'!$A$5:$O$89,M$5+2,FALSE)/M21*100,"")</f>
        <v>66.12181430507911</v>
      </c>
      <c r="N22" s="42">
        <f>IF(N21&gt;0,VLOOKUP(CONCATENATE($C$2,$B21),'Base Calculation'!$A$5:$O$89,N$5+2,FALSE)/N21*100,"")</f>
        <v>59.4535204043577</v>
      </c>
      <c r="O22" s="42">
        <f>IF(O21&gt;0,VLOOKUP(CONCATENATE($C$2,$B21),'Base Calculation'!$A$5:$O$89,O$5+2,FALSE)/O21*100,"")</f>
      </c>
      <c r="P22" s="42">
        <f>IF(P21&gt;0,VLOOKUP(CONCATENATE($C$2,$B21),'Base Calculation'!$A$5:$O$89,P$5+2,FALSE)/P21*100,"")</f>
        <v>61.16726146317875</v>
      </c>
      <c r="Q22" s="42">
        <f>IF(Q21&gt;0,VLOOKUP(CONCATENATE($C$2,$B21),'Base Calculation'!$A$5:$O$89,Q$5+2,FALSE)/Q21*100,"")</f>
      </c>
      <c r="R22" s="42">
        <f>IF(R21&gt;0,VLOOKUP(CONCATENATE($C$2,$B21),'Base Calculation'!$A$5:$O$89,R$5+2,FALSE)/R21*100,"")</f>
        <v>61.43230625745281</v>
      </c>
      <c r="S22" s="42">
        <f>IF(S21&gt;0,VLOOKUP(CONCATENATE($C$2,$B21),'Base Calculation'!$A$5:$O$89,S$5+2,FALSE)/S21*100,"")</f>
        <v>64.26042259911698</v>
      </c>
      <c r="T22" s="83">
        <f>IF(T21&gt;0,VLOOKUP(CONCATENATE($C$2,$B21),'Base Calculation'!$A$5:$O$89,U21+2,FALSE)/T21*100,"")</f>
      </c>
      <c r="U22" s="89">
        <f>IF(U21&gt;0,VLOOKUP(U21,BF$2:BG$14,2,FALSE),"")</f>
      </c>
      <c r="V22" s="90">
        <f>V21</f>
        <v>0</v>
      </c>
      <c r="W22" s="4"/>
      <c r="AP22" s="25">
        <f>17-COUNTIF(D22:T22,"")</f>
        <v>6</v>
      </c>
      <c r="AQ22" t="str">
        <f>CONCATENATE($C$2,BB22)</f>
        <v>Male18</v>
      </c>
      <c r="AS22" s="25">
        <f>SUM(D22:H22)</f>
        <v>0</v>
      </c>
      <c r="AT22" s="25">
        <f>SUM(I22:M22)</f>
        <v>134.73559599889703</v>
      </c>
      <c r="AU22" s="25">
        <f>SUM(N22:S22)</f>
        <v>246.3135107241062</v>
      </c>
      <c r="AV22" s="25">
        <f>IF($AS22&gt;0,LARGE(D22:H22,1),0)</f>
        <v>0</v>
      </c>
      <c r="AW22" s="25">
        <f>IF($AT22&gt;0,LARGE(I22:M22,1),0)</f>
        <v>68.61378169381791</v>
      </c>
      <c r="AX22" s="25">
        <f>IF($AU22&gt;0,LARGE(N22:S22,1),0)</f>
        <v>64.26042259911698</v>
      </c>
      <c r="AY22" s="25">
        <f>IF('League Summary'!$X$2=1,T22,"")</f>
      </c>
      <c r="AZ22" s="25">
        <f>SUM(AV22:AY22)</f>
        <v>132.8742042929349</v>
      </c>
      <c r="BA22" t="str">
        <f>IF(AND(AV22&gt;0,AW22&gt;0,AX22&gt;0,(AP22&gt;=4)),"Q","NQ")</f>
        <v>NQ</v>
      </c>
      <c r="BB22">
        <f>IF(AZ22&gt;0,RANK(AZ22,AZ$8:AZ$86,0),"")</f>
        <v>18</v>
      </c>
      <c r="BC22" t="str">
        <f>A21</f>
        <v>Clive Williams</v>
      </c>
      <c r="BD22">
        <f t="shared" si="2"/>
        <v>51</v>
      </c>
      <c r="BN22">
        <v>22</v>
      </c>
      <c r="BO22" s="108">
        <f t="shared" si="0"/>
        <v>66.12181430507911</v>
      </c>
    </row>
    <row r="23" spans="1:70" ht="12.75">
      <c r="A23" s="192" t="s">
        <v>207</v>
      </c>
      <c r="B23" s="193">
        <v>51</v>
      </c>
      <c r="C23" s="194" t="s">
        <v>36</v>
      </c>
      <c r="D23" s="195">
        <v>0</v>
      </c>
      <c r="E23" s="195">
        <v>0</v>
      </c>
      <c r="F23" s="195">
        <v>0</v>
      </c>
      <c r="G23" s="195">
        <v>0</v>
      </c>
      <c r="H23" s="195">
        <v>0.016898148148148148</v>
      </c>
      <c r="I23" s="195">
        <v>0.028402777777777777</v>
      </c>
      <c r="J23" s="195">
        <v>0</v>
      </c>
      <c r="K23" s="195">
        <v>0</v>
      </c>
      <c r="L23" s="195">
        <v>0</v>
      </c>
      <c r="M23" s="195">
        <v>0.036099537037037034</v>
      </c>
      <c r="N23" s="195">
        <v>0.08620370370370371</v>
      </c>
      <c r="O23" s="195">
        <v>0</v>
      </c>
      <c r="P23" s="195">
        <v>0</v>
      </c>
      <c r="Q23" s="195">
        <v>0.07984953703703704</v>
      </c>
      <c r="R23" s="195">
        <v>0.08402777777777777</v>
      </c>
      <c r="S23" s="196">
        <v>0</v>
      </c>
      <c r="T23" s="196">
        <v>0.036099537037037034</v>
      </c>
      <c r="U23" s="197">
        <v>5</v>
      </c>
      <c r="V23" s="198" t="s">
        <v>18</v>
      </c>
      <c r="W23" s="4"/>
      <c r="BD23">
        <f t="shared" si="2"/>
        <v>0</v>
      </c>
      <c r="BJ23" t="str">
        <f>IF(BO23&gt;0,"In","")</f>
        <v>In</v>
      </c>
      <c r="BK23" s="41">
        <f>IF(BJ23="In",BO23,"")</f>
        <v>0.036099537037037034</v>
      </c>
      <c r="BL23">
        <f>IF(BJ23="In",RANK(BK23,BK$7:BK$86,1),"")</f>
        <v>18</v>
      </c>
      <c r="BM23" t="str">
        <f>CONCATENATE(BJ23,BL23)</f>
        <v>In18</v>
      </c>
      <c r="BN23">
        <v>23</v>
      </c>
      <c r="BO23" s="41">
        <f t="shared" si="0"/>
        <v>0.036099537037037034</v>
      </c>
      <c r="BP23">
        <f t="shared" si="3"/>
        <v>60.12230374132874</v>
      </c>
      <c r="BQ23" t="str">
        <f>IF($BJ23="In",A23,"")</f>
        <v>Paul Arnold</v>
      </c>
      <c r="BR23">
        <f>IF($BJ23="In",B23,"")</f>
        <v>51</v>
      </c>
    </row>
    <row r="24" spans="1:67" ht="13.5" thickBot="1">
      <c r="A24" s="48" t="str">
        <f>CONCATENATE(A23,C24)</f>
        <v>Paul ArnoldPoints</v>
      </c>
      <c r="B24" s="46"/>
      <c r="C24" s="47" t="s">
        <v>37</v>
      </c>
      <c r="D24" s="42">
        <f>IF(D23&gt;0,VLOOKUP(CONCATENATE($C$2,$B23),'Base Calculation'!$A$5:$O$89,D$5+2,FALSE)/D23*100,"")</f>
      </c>
      <c r="E24" s="42">
        <f>IF(E23&gt;0,VLOOKUP(CONCATENATE($C$2,$B23),'Base Calculation'!$A$5:$O$89,E$5+2,FALSE)/E23*100,"")</f>
      </c>
      <c r="F24" s="42">
        <f>IF(F23&gt;0,VLOOKUP(CONCATENATE($C$2,$B23),'Base Calculation'!$A$5:$O$89,F$5+2,FALSE)/F23*100,"")</f>
      </c>
      <c r="G24" s="42">
        <f>IF(G23&gt;0,VLOOKUP(CONCATENATE($C$2,$B23),'Base Calculation'!$A$5:$O$89,G$5+2,FALSE)/G23*100,"")</f>
      </c>
      <c r="H24" s="42">
        <f>IF(H23&gt;0,VLOOKUP(CONCATENATE($C$2,$B23),'Base Calculation'!$A$5:$O$89,H$5+2,FALSE)/H23*100,"")</f>
        <v>61.083187617128374</v>
      </c>
      <c r="I24" s="42">
        <f>IF(I23&gt;0,VLOOKUP(CONCATENATE($C$2,$B23),'Base Calculation'!$A$5:$O$89,I$5+2,FALSE)/I23*100,"")</f>
        <v>61.952752628910005</v>
      </c>
      <c r="J24" s="42">
        <f>IF(J23&gt;0,VLOOKUP(CONCATENATE($C$2,$B23),'Base Calculation'!$A$5:$O$89,J$5+2,FALSE)/J23*100,"")</f>
      </c>
      <c r="K24" s="42">
        <f>IF(K23&gt;0,VLOOKUP(CONCATENATE($C$2,$B23),'Base Calculation'!$A$5:$O$89,K$5+2,FALSE)/K23*100,"")</f>
      </c>
      <c r="L24" s="42">
        <f>IF(L23&gt;0,VLOOKUP(CONCATENATE($C$2,$B23),'Base Calculation'!$A$5:$O$89,L$5+2,FALSE)/L23*100,"")</f>
      </c>
      <c r="M24" s="42">
        <f>IF(M23&gt;0,VLOOKUP(CONCATENATE($C$2,$B23),'Base Calculation'!$A$5:$O$89,M$5+2,FALSE)/M23*100,"")</f>
        <v>60.12230374132874</v>
      </c>
      <c r="N24" s="42">
        <f>IF(N23&gt;0,VLOOKUP(CONCATENATE($C$2,$B23),'Base Calculation'!$A$5:$O$89,N$5+2,FALSE)/N23*100,"")</f>
        <v>54.520346987347345</v>
      </c>
      <c r="O24" s="42">
        <f>IF(O23&gt;0,VLOOKUP(CONCATENATE($C$2,$B23),'Base Calculation'!$A$5:$O$89,O$5+2,FALSE)/O23*100,"")</f>
      </c>
      <c r="P24" s="42">
        <f>IF(P23&gt;0,VLOOKUP(CONCATENATE($C$2,$B23),'Base Calculation'!$A$5:$O$89,P$5+2,FALSE)/P23*100,"")</f>
      </c>
      <c r="Q24" s="42">
        <f>IF(Q23&gt;0,VLOOKUP(CONCATENATE($C$2,$B23),'Base Calculation'!$A$5:$O$89,Q$5+2,FALSE)/Q23*100,"")</f>
        <v>58.85889902330237</v>
      </c>
      <c r="R24" s="42">
        <f>IF(R23&gt;0,VLOOKUP(CONCATENATE($C$2,$B23),'Base Calculation'!$A$5:$O$89,R$5+2,FALSE)/R23*100,"")</f>
        <v>55.93216864487095</v>
      </c>
      <c r="S24" s="42">
        <f>IF(S23&gt;0,VLOOKUP(CONCATENATE($C$2,$B23),'Base Calculation'!$A$5:$O$89,S$5+2,FALSE)/S23*100,"")</f>
      </c>
      <c r="T24" s="91">
        <f>IF(T23&gt;0,VLOOKUP(CONCATENATE($C$2,$B23),'Base Calculation'!$A$5:$O$89,U23+2,FALSE)/T23*100,"")</f>
        <v>60.12230374132874</v>
      </c>
      <c r="U24" s="92" t="str">
        <f>IF(U23&gt;0,VLOOKUP(U23,BF$2:BG$14,2,FALSE),"")</f>
        <v>10k</v>
      </c>
      <c r="V24" s="93" t="str">
        <f>V23</f>
        <v>Aberystwyth 10k</v>
      </c>
      <c r="W24" s="4"/>
      <c r="AP24" s="25">
        <f>17-COUNTIF(D24:T24,"")</f>
        <v>7</v>
      </c>
      <c r="AQ24" t="str">
        <f>CONCATENATE($C$2,BB24)</f>
        <v>Male14</v>
      </c>
      <c r="AS24" s="25">
        <f>SUM(D24:H24)</f>
        <v>61.083187617128374</v>
      </c>
      <c r="AT24" s="25">
        <f>SUM(I24:M24)</f>
        <v>122.07505637023874</v>
      </c>
      <c r="AU24" s="25">
        <f>SUM(N24:S24)</f>
        <v>169.31141465552068</v>
      </c>
      <c r="AV24" s="25">
        <f>IF($AS24&gt;0,LARGE(D24:H24,1),0)</f>
        <v>61.083187617128374</v>
      </c>
      <c r="AW24" s="25">
        <f>IF($AT24&gt;0,LARGE(I24:M24,1),0)</f>
        <v>61.952752628910005</v>
      </c>
      <c r="AX24" s="25">
        <f>IF($AU24&gt;0,LARGE(N24:S24,1),0)</f>
        <v>58.85889902330237</v>
      </c>
      <c r="AY24" s="25">
        <f>IF('League Summary'!$X$2=1,T24,"")</f>
        <v>60.12230374132874</v>
      </c>
      <c r="AZ24" s="25">
        <f>SUM(AV24:AY24)</f>
        <v>242.0171430106695</v>
      </c>
      <c r="BA24" t="str">
        <f>IF(AND(AV24&gt;0,AW24&gt;0,AX24&gt;0,(AP24&gt;=4)),"Q","NQ")</f>
        <v>Q</v>
      </c>
      <c r="BB24">
        <f>IF(AZ24&gt;0,RANK(AZ24,AZ$8:AZ$86,0),"")</f>
        <v>14</v>
      </c>
      <c r="BC24" t="str">
        <f>A23</f>
        <v>Paul Arnold</v>
      </c>
      <c r="BD24">
        <f t="shared" si="2"/>
        <v>51</v>
      </c>
      <c r="BN24">
        <v>24</v>
      </c>
      <c r="BO24" s="108">
        <f t="shared" si="0"/>
        <v>60.12230374132874</v>
      </c>
    </row>
    <row r="25" spans="1:70" ht="12.75">
      <c r="A25" s="192" t="s">
        <v>208</v>
      </c>
      <c r="B25" s="193">
        <v>49</v>
      </c>
      <c r="C25" s="194" t="s">
        <v>36</v>
      </c>
      <c r="D25" s="195">
        <v>0</v>
      </c>
      <c r="E25" s="195">
        <v>0</v>
      </c>
      <c r="F25" s="195">
        <v>0</v>
      </c>
      <c r="G25" s="195">
        <v>0</v>
      </c>
      <c r="H25" s="195">
        <v>0.015740740740740743</v>
      </c>
      <c r="I25" s="195">
        <v>0</v>
      </c>
      <c r="J25" s="195">
        <v>0</v>
      </c>
      <c r="K25" s="195">
        <v>0</v>
      </c>
      <c r="L25" s="195">
        <v>0</v>
      </c>
      <c r="M25" s="195">
        <v>0.03099537037037037</v>
      </c>
      <c r="N25" s="195">
        <v>0.08912037037037036</v>
      </c>
      <c r="O25" s="195">
        <v>0</v>
      </c>
      <c r="P25" s="195">
        <v>0.05341435185185186</v>
      </c>
      <c r="Q25" s="195">
        <v>0.0759837962962963</v>
      </c>
      <c r="R25" s="195">
        <v>0.07893518518518518</v>
      </c>
      <c r="S25" s="196">
        <v>0</v>
      </c>
      <c r="T25" s="196">
        <v>0.0759837962962963</v>
      </c>
      <c r="U25" s="197">
        <v>9</v>
      </c>
      <c r="V25" s="198" t="s">
        <v>33</v>
      </c>
      <c r="W25" s="4"/>
      <c r="BD25">
        <f t="shared" si="2"/>
        <v>0</v>
      </c>
      <c r="BJ25" t="str">
        <f>IF(BO25&gt;0,"In","")</f>
        <v>In</v>
      </c>
      <c r="BK25" s="41">
        <f>IF(BJ25="In",BO25,"")</f>
        <v>0.03099537037037037</v>
      </c>
      <c r="BL25">
        <f>IF(BJ25="In",RANK(BK25,BK$7:BK$86,1),"")</f>
        <v>13</v>
      </c>
      <c r="BM25" t="str">
        <f>CONCATENATE(BJ25,BL25)</f>
        <v>In13</v>
      </c>
      <c r="BN25">
        <v>25</v>
      </c>
      <c r="BO25" s="41">
        <f t="shared" si="0"/>
        <v>0.03099537037037037</v>
      </c>
      <c r="BP25">
        <f t="shared" si="3"/>
        <v>68.94166878233693</v>
      </c>
      <c r="BQ25" t="str">
        <f>IF($BJ25="In",A25,"")</f>
        <v>Adriano Evola</v>
      </c>
      <c r="BR25">
        <f>IF($BJ25="In",B25,"")</f>
        <v>49</v>
      </c>
    </row>
    <row r="26" spans="1:67" ht="13.5" thickBot="1">
      <c r="A26" s="48" t="str">
        <f>CONCATENATE(A25,C26)</f>
        <v>Adriano EvolaPoints</v>
      </c>
      <c r="B26" s="46"/>
      <c r="C26" s="47" t="s">
        <v>37</v>
      </c>
      <c r="D26" s="42">
        <f>IF(D25&gt;0,VLOOKUP(CONCATENATE($C$2,$B25),'Base Calculation'!$A$5:$O$89,D$5+2,FALSE)/D25*100,"")</f>
      </c>
      <c r="E26" s="42">
        <f>IF(E25&gt;0,VLOOKUP(CONCATENATE($C$2,$B25),'Base Calculation'!$A$5:$O$89,E$5+2,FALSE)/E25*100,"")</f>
      </c>
      <c r="F26" s="42">
        <f>IF(F25&gt;0,VLOOKUP(CONCATENATE($C$2,$B25),'Base Calculation'!$A$5:$O$89,F$5+2,FALSE)/F25*100,"")</f>
      </c>
      <c r="G26" s="42">
        <f>IF(G25&gt;0,VLOOKUP(CONCATENATE($C$2,$B25),'Base Calculation'!$A$5:$O$89,G$5+2,FALSE)/G25*100,"")</f>
      </c>
      <c r="H26" s="42">
        <f>IF(H25&gt;0,VLOOKUP(CONCATENATE($C$2,$B25),'Base Calculation'!$A$5:$O$89,H$5+2,FALSE)/H25*100,"")</f>
        <v>64.56200604678301</v>
      </c>
      <c r="I26" s="42">
        <f>IF(I25&gt;0,VLOOKUP(CONCATENATE($C$2,$B25),'Base Calculation'!$A$5:$O$89,I$5+2,FALSE)/I25*100,"")</f>
      </c>
      <c r="J26" s="42">
        <f>IF(J25&gt;0,VLOOKUP(CONCATENATE($C$2,$B25),'Base Calculation'!$A$5:$O$89,J$5+2,FALSE)/J25*100,"")</f>
      </c>
      <c r="K26" s="42">
        <f>IF(K25&gt;0,VLOOKUP(CONCATENATE($C$2,$B25),'Base Calculation'!$A$5:$O$89,K$5+2,FALSE)/K25*100,"")</f>
      </c>
      <c r="L26" s="42">
        <f>IF(L25&gt;0,VLOOKUP(CONCATENATE($C$2,$B25),'Base Calculation'!$A$5:$O$89,L$5+2,FALSE)/L25*100,"")</f>
      </c>
      <c r="M26" s="42">
        <f>IF(M25&gt;0,VLOOKUP(CONCATENATE($C$2,$B25),'Base Calculation'!$A$5:$O$89,M$5+2,FALSE)/M25*100,"")</f>
        <v>68.94166878233693</v>
      </c>
      <c r="N26" s="42">
        <f>IF(N25&gt;0,VLOOKUP(CONCATENATE($C$2,$B25),'Base Calculation'!$A$5:$O$89,N$5+2,FALSE)/N25*100,"")</f>
        <v>51.921703184101744</v>
      </c>
      <c r="O26" s="42">
        <f>IF(O25&gt;0,VLOOKUP(CONCATENATE($C$2,$B25),'Base Calculation'!$A$5:$O$89,O$5+2,FALSE)/O25*100,"")</f>
      </c>
      <c r="P26" s="42">
        <f>IF(P25&gt;0,VLOOKUP(CONCATENATE($C$2,$B25),'Base Calculation'!$A$5:$O$89,P$5+2,FALSE)/P25*100,"")</f>
        <v>65.06403336436736</v>
      </c>
      <c r="Q26" s="42">
        <f>IF(Q25&gt;0,VLOOKUP(CONCATENATE($C$2,$B25),'Base Calculation'!$A$5:$O$89,Q$5+2,FALSE)/Q25*100,"")</f>
        <v>60.89826573002032</v>
      </c>
      <c r="R26" s="42">
        <f>IF(R25&gt;0,VLOOKUP(CONCATENATE($C$2,$B25),'Base Calculation'!$A$5:$O$89,R$5+2,FALSE)/R25*100,"")</f>
        <v>58.62127778850197</v>
      </c>
      <c r="S26" s="42">
        <f>IF(S25&gt;0,VLOOKUP(CONCATENATE($C$2,$B25),'Base Calculation'!$A$5:$O$89,S$5+2,FALSE)/S25*100,"")</f>
      </c>
      <c r="T26" s="83">
        <f>IF(T25&gt;0,VLOOKUP(CONCATENATE($C$2,$B25),'Base Calculation'!$A$5:$O$89,U25+2,FALSE)/T25*100,"")</f>
        <v>60.89826573002032</v>
      </c>
      <c r="U26" s="89" t="str">
        <f>IF(U25&gt;0,VLOOKUP(U25,BF$2:BG$14,2,FALSE),"")</f>
        <v>Half Marathon</v>
      </c>
      <c r="V26" s="90" t="str">
        <f>V25</f>
        <v>Craig yr Aderyn</v>
      </c>
      <c r="W26" s="4"/>
      <c r="AP26" s="25">
        <f>17-COUNTIF(D26:T26,"")</f>
        <v>7</v>
      </c>
      <c r="AQ26" t="str">
        <f>CONCATENATE($C$2,BB26)</f>
        <v>Male11</v>
      </c>
      <c r="AS26" s="25">
        <f>SUM(D26:H26)</f>
        <v>64.56200604678301</v>
      </c>
      <c r="AT26" s="25">
        <f>SUM(I26:M26)</f>
        <v>68.94166878233693</v>
      </c>
      <c r="AU26" s="25">
        <f>SUM(N26:S26)</f>
        <v>236.5052800669914</v>
      </c>
      <c r="AV26" s="25">
        <f>IF($AS26&gt;0,LARGE(D26:H26,1),0)</f>
        <v>64.56200604678301</v>
      </c>
      <c r="AW26" s="25">
        <f>IF($AT26&gt;0,LARGE(I26:M26,1),0)</f>
        <v>68.94166878233693</v>
      </c>
      <c r="AX26" s="25">
        <f>IF($AU26&gt;0,LARGE(N26:S26,1),0)</f>
        <v>65.06403336436736</v>
      </c>
      <c r="AY26" s="25">
        <f>IF('League Summary'!$X$2=1,T26,"")</f>
        <v>60.89826573002032</v>
      </c>
      <c r="AZ26" s="25">
        <f>SUM(AV26:AY26)</f>
        <v>259.46597392350765</v>
      </c>
      <c r="BA26" t="str">
        <f>IF(AND(AV26&gt;0,AW26&gt;0,AX26&gt;0,(AP26&gt;=4)),"Q","NQ")</f>
        <v>Q</v>
      </c>
      <c r="BB26">
        <f>IF(AZ26&gt;0,RANK(AZ26,AZ$8:AZ$86,0),"")</f>
        <v>11</v>
      </c>
      <c r="BC26" t="str">
        <f>A25</f>
        <v>Adriano Evola</v>
      </c>
      <c r="BD26">
        <f t="shared" si="2"/>
        <v>49</v>
      </c>
      <c r="BN26">
        <v>26</v>
      </c>
      <c r="BO26" s="108">
        <f t="shared" si="0"/>
        <v>68.94166878233693</v>
      </c>
    </row>
    <row r="27" spans="1:70" ht="12.75">
      <c r="A27" s="192" t="s">
        <v>209</v>
      </c>
      <c r="B27" s="193">
        <v>56</v>
      </c>
      <c r="C27" s="194" t="s">
        <v>36</v>
      </c>
      <c r="D27" s="195">
        <v>0</v>
      </c>
      <c r="E27" s="195">
        <v>0.015335648148148147</v>
      </c>
      <c r="F27" s="195">
        <v>0</v>
      </c>
      <c r="G27" s="195">
        <v>0.015509259259259257</v>
      </c>
      <c r="H27" s="195">
        <v>0</v>
      </c>
      <c r="I27" s="195">
        <v>0</v>
      </c>
      <c r="J27" s="195">
        <v>0</v>
      </c>
      <c r="K27" s="195">
        <v>0</v>
      </c>
      <c r="L27" s="195">
        <v>0.025277777777777777</v>
      </c>
      <c r="M27" s="195">
        <v>0</v>
      </c>
      <c r="N27" s="195">
        <v>0</v>
      </c>
      <c r="O27" s="195">
        <v>0.1351273148148148</v>
      </c>
      <c r="P27" s="195">
        <v>0</v>
      </c>
      <c r="Q27" s="195">
        <v>0</v>
      </c>
      <c r="R27" s="195">
        <v>0</v>
      </c>
      <c r="S27" s="196">
        <v>0</v>
      </c>
      <c r="T27" s="196">
        <v>0.015509259259259257</v>
      </c>
      <c r="U27" s="197">
        <v>2</v>
      </c>
      <c r="V27" s="198" t="s">
        <v>259</v>
      </c>
      <c r="W27" s="4"/>
      <c r="BD27">
        <f t="shared" si="2"/>
        <v>0</v>
      </c>
      <c r="BJ27">
        <f>IF(BO27&gt;0,"In","")</f>
      </c>
      <c r="BK27" s="41">
        <f>IF(BJ27="In",BO27,"")</f>
      </c>
      <c r="BL27">
        <f>IF(BJ27="In",RANK(BK27,BK$7:BK$86,1),"")</f>
      </c>
      <c r="BM27">
        <f>CONCATENATE(BJ27,BL27)</f>
      </c>
      <c r="BN27">
        <v>27</v>
      </c>
      <c r="BO27" s="41">
        <f t="shared" si="0"/>
        <v>0</v>
      </c>
      <c r="BP27">
        <f t="shared" si="3"/>
      </c>
      <c r="BQ27">
        <f>IF($BJ27="In",A27,"")</f>
      </c>
      <c r="BR27">
        <f>IF($BJ27="In",B27,"")</f>
      </c>
    </row>
    <row r="28" spans="1:67" ht="13.5" thickBot="1">
      <c r="A28" s="48" t="str">
        <f>CONCATENATE(A27,C28)</f>
        <v>Brian AshtonPoints</v>
      </c>
      <c r="B28" s="46"/>
      <c r="C28" s="47" t="s">
        <v>37</v>
      </c>
      <c r="D28" s="42">
        <f>IF(D27&gt;0,VLOOKUP(CONCATENATE($C$2,$B27),'Base Calculation'!$A$5:$O$89,D$5+2,FALSE)/D27*100,"")</f>
      </c>
      <c r="E28" s="42">
        <f>IF(E27&gt;0,VLOOKUP(CONCATENATE($C$2,$B27),'Base Calculation'!$A$5:$O$89,E$5+2,FALSE)/E27*100,"")</f>
        <v>70.30908016047438</v>
      </c>
      <c r="F28" s="42">
        <f>IF(F27&gt;0,VLOOKUP(CONCATENATE($C$2,$B27),'Base Calculation'!$A$5:$O$89,F$5+2,FALSE)/F27*100,"")</f>
      </c>
      <c r="G28" s="42">
        <f>IF(G27&gt;0,VLOOKUP(CONCATENATE($C$2,$B27),'Base Calculation'!$A$5:$O$89,G$5+2,FALSE)/G27*100,"")</f>
        <v>69.52203821837952</v>
      </c>
      <c r="H28" s="42">
        <f>IF(H27&gt;0,VLOOKUP(CONCATENATE($C$2,$B27),'Base Calculation'!$A$5:$O$89,H$5+2,FALSE)/H27*100,"")</f>
      </c>
      <c r="I28" s="42">
        <f>IF(I27&gt;0,VLOOKUP(CONCATENATE($C$2,$B27),'Base Calculation'!$A$5:$O$89,I$5+2,FALSE)/I27*100,"")</f>
      </c>
      <c r="J28" s="42">
        <f>IF(J27&gt;0,VLOOKUP(CONCATENATE($C$2,$B27),'Base Calculation'!$A$5:$O$89,J$5+2,FALSE)/J27*100,"")</f>
      </c>
      <c r="K28" s="42">
        <f>IF(K27&gt;0,VLOOKUP(CONCATENATE($C$2,$B27),'Base Calculation'!$A$5:$O$89,K$5+2,FALSE)/K27*100,"")</f>
      </c>
      <c r="L28" s="42">
        <f>IF(L27&gt;0,VLOOKUP(CONCATENATE($C$2,$B27),'Base Calculation'!$A$5:$O$89,L$5+2,FALSE)/L27*100,"")</f>
        <v>72.7168868761789</v>
      </c>
      <c r="M28" s="42">
        <f>IF(M27&gt;0,VLOOKUP(CONCATENATE($C$2,$B27),'Base Calculation'!$A$5:$O$89,M$5+2,FALSE)/M27*100,"")</f>
      </c>
      <c r="N28" s="42">
        <f>IF(N27&gt;0,VLOOKUP(CONCATENATE($C$2,$B27),'Base Calculation'!$A$5:$O$89,N$5+2,FALSE)/N27*100,"")</f>
      </c>
      <c r="O28" s="42">
        <f>IF(O27&gt;0,VLOOKUP(CONCATENATE($C$2,$B27),'Base Calculation'!$A$5:$O$89,O$5+2,FALSE)/O27*100,"")</f>
        <v>58.38003428181459</v>
      </c>
      <c r="P28" s="42">
        <f>IF(P27&gt;0,VLOOKUP(CONCATENATE($C$2,$B27),'Base Calculation'!$A$5:$O$89,P$5+2,FALSE)/P27*100,"")</f>
      </c>
      <c r="Q28" s="42">
        <f>IF(Q27&gt;0,VLOOKUP(CONCATENATE($C$2,$B27),'Base Calculation'!$A$5:$O$89,Q$5+2,FALSE)/Q27*100,"")</f>
      </c>
      <c r="R28" s="42">
        <f>IF(R27&gt;0,VLOOKUP(CONCATENATE($C$2,$B27),'Base Calculation'!$A$5:$O$89,R$5+2,FALSE)/R27*100,"")</f>
      </c>
      <c r="S28" s="42">
        <f>IF(S27&gt;0,VLOOKUP(CONCATENATE($C$2,$B27),'Base Calculation'!$A$5:$O$89,S$5+2,FALSE)/S27*100,"")</f>
      </c>
      <c r="T28" s="83">
        <f>IF(T27&gt;0,VLOOKUP(CONCATENATE($C$2,$B27),'Base Calculation'!$A$5:$O$89,U27+2,FALSE)/T27*100,"")</f>
        <v>69.52203821837952</v>
      </c>
      <c r="U28" s="89" t="str">
        <f>IF(U27&gt;0,VLOOKUP(U27,BF$2:BG$14,2,FALSE),"")</f>
        <v>5k</v>
      </c>
      <c r="V28" s="90" t="str">
        <f>V27</f>
        <v>Rhayader Race 3</v>
      </c>
      <c r="W28" s="4"/>
      <c r="AP28" s="25">
        <f>17-COUNTIF(D28:T28,"")</f>
        <v>5</v>
      </c>
      <c r="AQ28" t="str">
        <f>CONCATENATE($C$2,BB28)</f>
        <v>Male9</v>
      </c>
      <c r="AS28" s="25">
        <f>SUM(D28:H28)</f>
        <v>139.8311183788539</v>
      </c>
      <c r="AT28" s="25">
        <f>SUM(I28:M28)</f>
        <v>72.7168868761789</v>
      </c>
      <c r="AU28" s="25">
        <f>SUM(N28:S28)</f>
        <v>58.38003428181459</v>
      </c>
      <c r="AV28" s="25">
        <f>IF($AS28&gt;0,LARGE(D28:H28,1),0)</f>
        <v>70.30908016047438</v>
      </c>
      <c r="AW28" s="25">
        <f>IF($AT28&gt;0,LARGE(I28:M28,1),0)</f>
        <v>72.7168868761789</v>
      </c>
      <c r="AX28" s="25">
        <f>IF($AU28&gt;0,LARGE(N28:S28,1),0)</f>
        <v>58.38003428181459</v>
      </c>
      <c r="AY28" s="25">
        <f>IF('League Summary'!$X$2=1,T28,"")</f>
        <v>69.52203821837952</v>
      </c>
      <c r="AZ28" s="25">
        <f>SUM(AV28:AY28)</f>
        <v>270.9280395368474</v>
      </c>
      <c r="BA28" t="str">
        <f>IF(AND(AV28&gt;0,AW28&gt;0,AX28&gt;0,(AP28&gt;=4)),"Q","NQ")</f>
        <v>Q</v>
      </c>
      <c r="BB28">
        <f>IF(AZ28&gt;0,RANK(AZ28,AZ$8:AZ$86,0),"")</f>
        <v>9</v>
      </c>
      <c r="BC28" t="str">
        <f>A27</f>
        <v>Brian Ashton</v>
      </c>
      <c r="BD28">
        <f t="shared" si="2"/>
        <v>56</v>
      </c>
      <c r="BN28">
        <v>28</v>
      </c>
      <c r="BO28" s="108">
        <f t="shared" si="0"/>
      </c>
    </row>
    <row r="29" spans="1:70" ht="12.75">
      <c r="A29" s="192" t="s">
        <v>212</v>
      </c>
      <c r="B29" s="193">
        <v>55</v>
      </c>
      <c r="C29" s="194" t="s">
        <v>36</v>
      </c>
      <c r="D29" s="195">
        <v>0.013206018518518518</v>
      </c>
      <c r="E29" s="195">
        <v>0.013368055555555557</v>
      </c>
      <c r="F29" s="195">
        <v>0.013090277777777779</v>
      </c>
      <c r="G29" s="195">
        <v>0.01283564814814815</v>
      </c>
      <c r="H29" s="195">
        <v>0</v>
      </c>
      <c r="I29" s="195">
        <v>0.021412037037037035</v>
      </c>
      <c r="J29" s="195">
        <v>0</v>
      </c>
      <c r="K29" s="195">
        <v>0</v>
      </c>
      <c r="L29" s="195">
        <v>0.021053240740740744</v>
      </c>
      <c r="M29" s="195">
        <v>0</v>
      </c>
      <c r="N29" s="195">
        <v>0</v>
      </c>
      <c r="O29" s="195">
        <v>0</v>
      </c>
      <c r="P29" s="195">
        <v>0</v>
      </c>
      <c r="Q29" s="195">
        <v>0</v>
      </c>
      <c r="R29" s="195">
        <v>0.060127314814814814</v>
      </c>
      <c r="S29" s="196">
        <v>0.045173611111111116</v>
      </c>
      <c r="T29" s="196">
        <v>0.021412037037037035</v>
      </c>
      <c r="U29" s="197">
        <v>4</v>
      </c>
      <c r="V29" s="198" t="s">
        <v>256</v>
      </c>
      <c r="W29" s="4"/>
      <c r="BD29">
        <f t="shared" si="2"/>
        <v>0</v>
      </c>
      <c r="BJ29">
        <f>IF(BO29&gt;0,"In","")</f>
      </c>
      <c r="BK29" s="41">
        <f>IF(BJ29="In",BO29,"")</f>
      </c>
      <c r="BL29">
        <f>IF(BJ29="In",RANK(BK29,BK$7:BK$86,1),"")</f>
      </c>
      <c r="BM29">
        <f>CONCATENATE(BJ29,BL29)</f>
      </c>
      <c r="BN29">
        <v>29</v>
      </c>
      <c r="BO29" s="41">
        <f t="shared" si="0"/>
        <v>0</v>
      </c>
      <c r="BP29">
        <f t="shared" si="3"/>
      </c>
      <c r="BQ29">
        <f>IF($BJ29="In",A29,"")</f>
      </c>
      <c r="BR29">
        <f>IF($BJ29="In",B29,"")</f>
      </c>
    </row>
    <row r="30" spans="1:67" ht="13.5" thickBot="1">
      <c r="A30" s="48" t="str">
        <f>CONCATENATE(A29,C30)</f>
        <v>Pete FoalePoints</v>
      </c>
      <c r="B30" s="46"/>
      <c r="C30" s="47" t="s">
        <v>37</v>
      </c>
      <c r="D30" s="42">
        <f>IF(D29&gt;0,VLOOKUP(CONCATENATE($C$2,$B29),'Base Calculation'!$A$5:$O$89,D$5+2,FALSE)/D29*100,"")</f>
        <v>80.8831232639071</v>
      </c>
      <c r="E30" s="42">
        <f>IF(E29&gt;0,VLOOKUP(CONCATENATE($C$2,$B29),'Base Calculation'!$A$5:$O$89,E$5+2,FALSE)/E29*100,"")</f>
        <v>79.90272176979913</v>
      </c>
      <c r="F30" s="42">
        <f>IF(F29&gt;0,VLOOKUP(CONCATENATE($C$2,$B29),'Base Calculation'!$A$5:$O$89,F$5+2,FALSE)/F29*100,"")</f>
        <v>81.5982702423678</v>
      </c>
      <c r="G30" s="42">
        <f>IF(G29&gt;0,VLOOKUP(CONCATENATE($C$2,$B29),'Base Calculation'!$A$5:$O$89,G$5+2,FALSE)/G29*100,"")</f>
        <v>83.21699156367717</v>
      </c>
      <c r="H30" s="42">
        <f>IF(H29&gt;0,VLOOKUP(CONCATENATE($C$2,$B29),'Base Calculation'!$A$5:$O$89,H$5+2,FALSE)/H29*100,"")</f>
      </c>
      <c r="I30" s="42">
        <f>IF(I29&gt;0,VLOOKUP(CONCATENATE($C$2,$B29),'Base Calculation'!$A$5:$O$89,I$5+2,FALSE)/I29*100,"")</f>
        <v>85.04180047836014</v>
      </c>
      <c r="J30" s="42">
        <f>IF(J29&gt;0,VLOOKUP(CONCATENATE($C$2,$B29),'Base Calculation'!$A$5:$O$89,J$5+2,FALSE)/J29*100,"")</f>
      </c>
      <c r="K30" s="42">
        <f>IF(K29&gt;0,VLOOKUP(CONCATENATE($C$2,$B29),'Base Calculation'!$A$5:$O$89,K$5+2,FALSE)/K29*100,"")</f>
      </c>
      <c r="L30" s="42">
        <f>IF(L29&gt;0,VLOOKUP(CONCATENATE($C$2,$B29),'Base Calculation'!$A$5:$O$89,L$5+2,FALSE)/L29*100,"")</f>
        <v>86.49111098678736</v>
      </c>
      <c r="M30" s="42">
        <f>IF(M29&gt;0,VLOOKUP(CONCATENATE($C$2,$B29),'Base Calculation'!$A$5:$O$89,M$5+2,FALSE)/M29*100,"")</f>
      </c>
      <c r="N30" s="42">
        <f>IF(N29&gt;0,VLOOKUP(CONCATENATE($C$2,$B29),'Base Calculation'!$A$5:$O$89,N$5+2,FALSE)/N29*100,"")</f>
      </c>
      <c r="O30" s="42">
        <f>IF(O29&gt;0,VLOOKUP(CONCATENATE($C$2,$B29),'Base Calculation'!$A$5:$O$89,O$5+2,FALSE)/O29*100,"")</f>
      </c>
      <c r="P30" s="42">
        <f>IF(P29&gt;0,VLOOKUP(CONCATENATE($C$2,$B29),'Base Calculation'!$A$5:$O$89,P$5+2,FALSE)/P29*100,"")</f>
      </c>
      <c r="Q30" s="42">
        <f>IF(Q29&gt;0,VLOOKUP(CONCATENATE($C$2,$B29),'Base Calculation'!$A$5:$O$89,Q$5+2,FALSE)/Q29*100,"")</f>
      </c>
      <c r="R30" s="42">
        <f>IF(R29&gt;0,VLOOKUP(CONCATENATE($C$2,$B29),'Base Calculation'!$A$5:$O$89,R$5+2,FALSE)/R29*100,"")</f>
        <v>80.8875602480628</v>
      </c>
      <c r="S30" s="42">
        <f>IF(S29&gt;0,VLOOKUP(CONCATENATE($C$2,$B29),'Base Calculation'!$A$5:$O$89,S$5+2,FALSE)/S29*100,"")</f>
        <v>80.86149545868912</v>
      </c>
      <c r="T30" s="91">
        <f>IF(T29&gt;0,VLOOKUP(CONCATENATE($C$2,$B29),'Base Calculation'!$A$5:$O$89,U29+2,FALSE)/T29*100,"")</f>
        <v>85.04180047836014</v>
      </c>
      <c r="U30" s="92" t="str">
        <f>IF(U29&gt;0,VLOOKUP(U29,BF$2:BG$14,2,FALSE),"")</f>
        <v>5 Mile</v>
      </c>
      <c r="V30" s="93" t="str">
        <f>V29</f>
        <v>Rhayder 5 Mile</v>
      </c>
      <c r="W30" s="4"/>
      <c r="AP30" s="25">
        <f>17-COUNTIF(D30:T30,"")</f>
        <v>9</v>
      </c>
      <c r="AQ30" t="str">
        <f>CONCATENATE($C$2,BB30)</f>
        <v>Male1</v>
      </c>
      <c r="AS30" s="25">
        <f>SUM(D30:H30)</f>
        <v>325.6011068397512</v>
      </c>
      <c r="AT30" s="25">
        <f>SUM(I30:M30)</f>
        <v>171.5329114651475</v>
      </c>
      <c r="AU30" s="25">
        <f>SUM(N30:S30)</f>
        <v>161.7490557067519</v>
      </c>
      <c r="AV30" s="25">
        <f>IF($AS30&gt;0,LARGE(D30:H30,1),0)</f>
        <v>83.21699156367717</v>
      </c>
      <c r="AW30" s="25">
        <f>IF($AT30&gt;0,LARGE(I30:M30,1),0)</f>
        <v>86.49111098678736</v>
      </c>
      <c r="AX30" s="25">
        <f>IF($AU30&gt;0,LARGE(N30:S30,1),0)</f>
        <v>80.8875602480628</v>
      </c>
      <c r="AY30" s="25">
        <f>IF('League Summary'!$X$2=1,T30,"")</f>
        <v>85.04180047836014</v>
      </c>
      <c r="AZ30" s="25">
        <f>SUM(AV30:AY30)</f>
        <v>335.63746327688744</v>
      </c>
      <c r="BA30" t="str">
        <f>IF(AND(AV30&gt;0,AW30&gt;0,AX30&gt;0,(AP30&gt;=4)),"Q","NQ")</f>
        <v>Q</v>
      </c>
      <c r="BB30">
        <f>IF(AZ30&gt;0,RANK(AZ30,AZ$8:AZ$86,0),"")</f>
        <v>1</v>
      </c>
      <c r="BC30" t="str">
        <f>A29</f>
        <v>Pete Foale</v>
      </c>
      <c r="BD30">
        <f t="shared" si="2"/>
        <v>55</v>
      </c>
      <c r="BN30">
        <v>30</v>
      </c>
      <c r="BO30" s="108">
        <f t="shared" si="0"/>
      </c>
    </row>
    <row r="31" spans="1:70" ht="12.75">
      <c r="A31" s="192" t="s">
        <v>213</v>
      </c>
      <c r="B31" s="193">
        <v>60</v>
      </c>
      <c r="C31" s="194" t="s">
        <v>36</v>
      </c>
      <c r="D31" s="195">
        <v>0.013877314814814815</v>
      </c>
      <c r="E31" s="195">
        <v>0.013819444444444445</v>
      </c>
      <c r="F31" s="195">
        <v>0.013703703703703704</v>
      </c>
      <c r="G31" s="195">
        <v>0</v>
      </c>
      <c r="H31" s="195">
        <v>0.014166666666666666</v>
      </c>
      <c r="I31" s="195">
        <v>0.02246527777777778</v>
      </c>
      <c r="J31" s="195">
        <v>0</v>
      </c>
      <c r="K31" s="195">
        <v>0.02934027777777778</v>
      </c>
      <c r="L31" s="195">
        <v>0.023194444444444445</v>
      </c>
      <c r="M31" s="195">
        <v>0.029317129629629634</v>
      </c>
      <c r="N31" s="195">
        <v>0</v>
      </c>
      <c r="O31" s="195">
        <v>0</v>
      </c>
      <c r="P31" s="195">
        <v>0</v>
      </c>
      <c r="Q31" s="195">
        <v>0.06394675925925926</v>
      </c>
      <c r="R31" s="195">
        <v>0.06326388888888888</v>
      </c>
      <c r="S31" s="196">
        <v>0</v>
      </c>
      <c r="T31" s="196">
        <v>0.023194444444444445</v>
      </c>
      <c r="U31" s="197">
        <v>4</v>
      </c>
      <c r="V31" s="198" t="s">
        <v>29</v>
      </c>
      <c r="W31" s="4"/>
      <c r="BD31">
        <f t="shared" si="2"/>
        <v>0</v>
      </c>
      <c r="BJ31" t="str">
        <f>IF(BO31&gt;0,"In","")</f>
        <v>In</v>
      </c>
      <c r="BK31" s="41">
        <f>IF(BJ31="In",BO31,"")</f>
        <v>0.029317129629629634</v>
      </c>
      <c r="BL31">
        <f>IF(BJ31="In",RANK(BK31,BK$7:BK$86,1),"")</f>
        <v>6</v>
      </c>
      <c r="BM31" t="str">
        <f>CONCATENATE(BJ31,BL31)</f>
        <v>In6</v>
      </c>
      <c r="BN31">
        <v>31</v>
      </c>
      <c r="BO31" s="41">
        <f t="shared" si="0"/>
        <v>0.029317129629629634</v>
      </c>
      <c r="BP31">
        <f t="shared" si="3"/>
        <v>80.45086274463962</v>
      </c>
      <c r="BQ31" t="str">
        <f>IF($BJ31="In",A31,"")</f>
        <v>Clive Evans</v>
      </c>
      <c r="BR31">
        <f>IF($BJ31="In",B31,"")</f>
        <v>60</v>
      </c>
    </row>
    <row r="32" spans="1:67" ht="13.5" thickBot="1">
      <c r="A32" s="48" t="str">
        <f>CONCATENATE(A31,C32)</f>
        <v>Clive EvansPoints</v>
      </c>
      <c r="B32" s="46"/>
      <c r="C32" s="47" t="s">
        <v>37</v>
      </c>
      <c r="D32" s="42">
        <f>IF(D31&gt;0,VLOOKUP(CONCATENATE($C$2,$B31),'Base Calculation'!$A$5:$O$89,D$5+2,FALSE)/D31*100,"")</f>
        <v>80.8295707980919</v>
      </c>
      <c r="E32" s="42">
        <f>IF(E31&gt;0,VLOOKUP(CONCATENATE($C$2,$B31),'Base Calculation'!$A$5:$O$89,E$5+2,FALSE)/E31*100,"")</f>
        <v>81.16805308786613</v>
      </c>
      <c r="F32" s="42">
        <f>IF(F31&gt;0,VLOOKUP(CONCATENATE($C$2,$B31),'Base Calculation'!$A$5:$O$89,F$5+2,FALSE)/F31*100,"")</f>
        <v>81.85359407678392</v>
      </c>
      <c r="G32" s="42">
        <f>IF(G31&gt;0,VLOOKUP(CONCATENATE($C$2,$B31),'Base Calculation'!$A$5:$O$89,G$5+2,FALSE)/G31*100,"")</f>
      </c>
      <c r="H32" s="42">
        <f>IF(H31&gt;0,VLOOKUP(CONCATENATE($C$2,$B31),'Base Calculation'!$A$5:$O$89,H$5+2,FALSE)/H31*100,"")</f>
        <v>79.17864002198706</v>
      </c>
      <c r="I32" s="42">
        <f>IF(I31&gt;0,VLOOKUP(CONCATENATE($C$2,$B31),'Base Calculation'!$A$5:$O$89,I$5+2,FALSE)/I31*100,"")</f>
        <v>85.11861291528814</v>
      </c>
      <c r="J32" s="42">
        <f>IF(J31&gt;0,VLOOKUP(CONCATENATE($C$2,$B31),'Base Calculation'!$A$5:$O$89,J$5+2,FALSE)/J31*100,"")</f>
      </c>
      <c r="K32" s="42">
        <f>IF(K31&gt;0,VLOOKUP(CONCATENATE($C$2,$B31),'Base Calculation'!$A$5:$O$89,K$5+2,FALSE)/K31*100,"")</f>
        <v>80.38739066357877</v>
      </c>
      <c r="L32" s="42">
        <f>IF(L31&gt;0,VLOOKUP(CONCATENATE($C$2,$B31),'Base Calculation'!$A$5:$O$89,L$5+2,FALSE)/L31*100,"")</f>
        <v>82.44272837753208</v>
      </c>
      <c r="M32" s="42">
        <f>IF(M31&gt;0,VLOOKUP(CONCATENATE($C$2,$B31),'Base Calculation'!$A$5:$O$89,M$5+2,FALSE)/M31*100,"")</f>
        <v>80.45086274463962</v>
      </c>
      <c r="N32" s="42">
        <f>IF(N31&gt;0,VLOOKUP(CONCATENATE($C$2,$B31),'Base Calculation'!$A$5:$O$89,N$5+2,FALSE)/N31*100,"")</f>
      </c>
      <c r="O32" s="42">
        <f>IF(O31&gt;0,VLOOKUP(CONCATENATE($C$2,$B31),'Base Calculation'!$A$5:$O$89,O$5+2,FALSE)/O31*100,"")</f>
      </c>
      <c r="P32" s="42">
        <f>IF(P31&gt;0,VLOOKUP(CONCATENATE($C$2,$B31),'Base Calculation'!$A$5:$O$89,P$5+2,FALSE)/P31*100,"")</f>
      </c>
      <c r="Q32" s="42">
        <f>IF(Q31&gt;0,VLOOKUP(CONCATENATE($C$2,$B31),'Base Calculation'!$A$5:$O$89,Q$5+2,FALSE)/Q31*100,"")</f>
        <v>79.86948870692268</v>
      </c>
      <c r="R32" s="42">
        <f>IF(R31&gt;0,VLOOKUP(CONCATENATE($C$2,$B31),'Base Calculation'!$A$5:$O$89,R$5+2,FALSE)/R31*100,"")</f>
        <v>80.73159990957699</v>
      </c>
      <c r="S32" s="42">
        <f>IF(S31&gt;0,VLOOKUP(CONCATENATE($C$2,$B31),'Base Calculation'!$A$5:$O$89,S$5+2,FALSE)/S31*100,"")</f>
      </c>
      <c r="T32" s="83">
        <f>IF(T31&gt;0,VLOOKUP(CONCATENATE($C$2,$B31),'Base Calculation'!$A$5:$O$89,U31+2,FALSE)/T31*100,"")</f>
        <v>82.44272837753208</v>
      </c>
      <c r="U32" s="89" t="str">
        <f>IF(U31&gt;0,VLOOKUP(U31,BF$2:BG$14,2,FALSE),"")</f>
        <v>5 Mile</v>
      </c>
      <c r="V32" s="90" t="str">
        <f>V31</f>
        <v>Dolgellau 5</v>
      </c>
      <c r="W32" s="4"/>
      <c r="AP32" s="25">
        <f>17-COUNTIF(D32:T32,"")</f>
        <v>11</v>
      </c>
      <c r="AQ32" t="str">
        <f>CONCATENATE($C$2,BB32)</f>
        <v>Male3</v>
      </c>
      <c r="AS32" s="25">
        <f>SUM(D32:H32)</f>
        <v>323.029857984729</v>
      </c>
      <c r="AT32" s="25">
        <f>SUM(I32:M32)</f>
        <v>328.3995947010386</v>
      </c>
      <c r="AU32" s="25">
        <f>SUM(N32:S32)</f>
        <v>160.60108861649968</v>
      </c>
      <c r="AV32" s="25">
        <f>IF($AS32&gt;0,LARGE(D32:H32,1),0)</f>
        <v>81.85359407678392</v>
      </c>
      <c r="AW32" s="25">
        <f>IF($AT32&gt;0,LARGE(I32:M32,1),0)</f>
        <v>85.11861291528814</v>
      </c>
      <c r="AX32" s="25">
        <f>IF($AU32&gt;0,LARGE(N32:S32,1),0)</f>
        <v>80.73159990957699</v>
      </c>
      <c r="AY32" s="25">
        <f>IF('League Summary'!$X$2=1,T32,"")</f>
        <v>82.44272837753208</v>
      </c>
      <c r="AZ32" s="25">
        <f>SUM(AV32:AY32)</f>
        <v>330.14653527918114</v>
      </c>
      <c r="BA32" t="str">
        <f>IF(AND(AV32&gt;0,AW32&gt;0,AX32&gt;0,(AP32&gt;=4)),"Q","NQ")</f>
        <v>Q</v>
      </c>
      <c r="BB32">
        <f>IF(AZ32&gt;0,RANK(AZ32,AZ$8:AZ$86,0),"")</f>
        <v>3</v>
      </c>
      <c r="BC32" t="str">
        <f>A31</f>
        <v>Clive Evans</v>
      </c>
      <c r="BD32">
        <f t="shared" si="2"/>
        <v>60</v>
      </c>
      <c r="BN32">
        <v>32</v>
      </c>
      <c r="BO32" s="108">
        <f t="shared" si="0"/>
        <v>80.45086274463962</v>
      </c>
    </row>
    <row r="33" spans="1:70" ht="12.75">
      <c r="A33" s="192" t="s">
        <v>214</v>
      </c>
      <c r="B33" s="193">
        <v>46</v>
      </c>
      <c r="C33" s="194" t="s">
        <v>36</v>
      </c>
      <c r="D33" s="195">
        <v>0</v>
      </c>
      <c r="E33" s="195">
        <v>0</v>
      </c>
      <c r="F33" s="195">
        <v>0</v>
      </c>
      <c r="G33" s="195">
        <v>0</v>
      </c>
      <c r="H33" s="195">
        <v>0</v>
      </c>
      <c r="I33" s="195">
        <v>0.02332175925925926</v>
      </c>
      <c r="J33" s="195">
        <v>0</v>
      </c>
      <c r="K33" s="195">
        <v>0</v>
      </c>
      <c r="L33" s="195">
        <v>0</v>
      </c>
      <c r="M33" s="195">
        <v>0</v>
      </c>
      <c r="N33" s="195">
        <v>0</v>
      </c>
      <c r="O33" s="195">
        <v>0</v>
      </c>
      <c r="P33" s="195">
        <v>0</v>
      </c>
      <c r="Q33" s="195">
        <v>0</v>
      </c>
      <c r="R33" s="195">
        <v>0</v>
      </c>
      <c r="S33" s="196">
        <v>0</v>
      </c>
      <c r="T33" s="196">
        <v>0</v>
      </c>
      <c r="U33" s="197"/>
      <c r="V33" s="198"/>
      <c r="W33" s="4"/>
      <c r="BD33">
        <f t="shared" si="2"/>
        <v>0</v>
      </c>
      <c r="BJ33">
        <f>IF(BO33&gt;0,"In","")</f>
      </c>
      <c r="BK33" s="41">
        <f>IF(BJ33="In",BO33,"")</f>
      </c>
      <c r="BL33">
        <f>IF(BJ33="In",RANK(BK33,BK$7:BK$86,1),"")</f>
      </c>
      <c r="BM33">
        <f>CONCATENATE(BJ33,BL33)</f>
      </c>
      <c r="BN33">
        <v>33</v>
      </c>
      <c r="BO33" s="41">
        <f t="shared" si="0"/>
        <v>0</v>
      </c>
      <c r="BP33">
        <f t="shared" si="3"/>
      </c>
      <c r="BQ33">
        <f>IF($BJ33="In",A33,"")</f>
      </c>
      <c r="BR33">
        <f>IF($BJ33="In",B33,"")</f>
      </c>
    </row>
    <row r="34" spans="1:67" ht="13.5" thickBot="1">
      <c r="A34" s="48" t="str">
        <f>CONCATENATE(A33,C34)</f>
        <v>Geraint EvansPoints</v>
      </c>
      <c r="B34" s="46"/>
      <c r="C34" s="47" t="s">
        <v>37</v>
      </c>
      <c r="D34" s="42">
        <f>IF(D33&gt;0,VLOOKUP(CONCATENATE($C$2,$B33),'Base Calculation'!$A$5:$O$89,D$5+2,FALSE)/D33*100,"")</f>
      </c>
      <c r="E34" s="42">
        <f>IF(E33&gt;0,VLOOKUP(CONCATENATE($C$2,$B33),'Base Calculation'!$A$5:$O$89,E$5+2,FALSE)/E33*100,"")</f>
      </c>
      <c r="F34" s="42">
        <f>IF(F33&gt;0,VLOOKUP(CONCATENATE($C$2,$B33),'Base Calculation'!$A$5:$O$89,F$5+2,FALSE)/F33*100,"")</f>
      </c>
      <c r="G34" s="42">
        <f>IF(G33&gt;0,VLOOKUP(CONCATENATE($C$2,$B33),'Base Calculation'!$A$5:$O$89,G$5+2,FALSE)/G33*100,"")</f>
      </c>
      <c r="H34" s="42">
        <f>IF(H33&gt;0,VLOOKUP(CONCATENATE($C$2,$B33),'Base Calculation'!$A$5:$O$89,H$5+2,FALSE)/H33*100,"")</f>
      </c>
      <c r="I34" s="42">
        <f>IF(I33&gt;0,VLOOKUP(CONCATENATE($C$2,$B33),'Base Calculation'!$A$5:$O$89,I$5+2,FALSE)/I33*100,"")</f>
        <v>72.71150396737619</v>
      </c>
      <c r="J34" s="42">
        <f>IF(J33&gt;0,VLOOKUP(CONCATENATE($C$2,$B33),'Base Calculation'!$A$5:$O$89,J$5+2,FALSE)/J33*100,"")</f>
      </c>
      <c r="K34" s="42">
        <f>IF(K33&gt;0,VLOOKUP(CONCATENATE($C$2,$B33),'Base Calculation'!$A$5:$O$89,K$5+2,FALSE)/K33*100,"")</f>
      </c>
      <c r="L34" s="42">
        <f>IF(L33&gt;0,VLOOKUP(CONCATENATE($C$2,$B33),'Base Calculation'!$A$5:$O$89,L$5+2,FALSE)/L33*100,"")</f>
      </c>
      <c r="M34" s="42">
        <f>IF(M33&gt;0,VLOOKUP(CONCATENATE($C$2,$B33),'Base Calculation'!$A$5:$O$89,M$5+2,FALSE)/M33*100,"")</f>
      </c>
      <c r="N34" s="42">
        <f>IF(N33&gt;0,VLOOKUP(CONCATENATE($C$2,$B33),'Base Calculation'!$A$5:$O$89,N$5+2,FALSE)/N33*100,"")</f>
      </c>
      <c r="O34" s="42">
        <f>IF(O33&gt;0,VLOOKUP(CONCATENATE($C$2,$B33),'Base Calculation'!$A$5:$O$89,O$5+2,FALSE)/O33*100,"")</f>
      </c>
      <c r="P34" s="42">
        <f>IF(P33&gt;0,VLOOKUP(CONCATENATE($C$2,$B33),'Base Calculation'!$A$5:$O$89,P$5+2,FALSE)/P33*100,"")</f>
      </c>
      <c r="Q34" s="42">
        <f>IF(Q33&gt;0,VLOOKUP(CONCATENATE($C$2,$B33),'Base Calculation'!$A$5:$O$89,Q$5+2,FALSE)/Q33*100,"")</f>
      </c>
      <c r="R34" s="42">
        <f>IF(R33&gt;0,VLOOKUP(CONCATENATE($C$2,$B33),'Base Calculation'!$A$5:$O$89,R$5+2,FALSE)/R33*100,"")</f>
      </c>
      <c r="S34" s="42">
        <f>IF(S33&gt;0,VLOOKUP(CONCATENATE($C$2,$B33),'Base Calculation'!$A$5:$O$89,S$5+2,FALSE)/S33*100,"")</f>
      </c>
      <c r="T34" s="91">
        <f>IF(T33&gt;0,VLOOKUP(CONCATENATE($C$2,$B33),'Base Calculation'!$A$5:$O$89,U33+2,FALSE)/T33*100,"")</f>
      </c>
      <c r="U34" s="92">
        <f>IF(U33&gt;0,VLOOKUP(U33,BF$2:BG$14,2,FALSE),"")</f>
      </c>
      <c r="V34" s="93">
        <f>V33</f>
        <v>0</v>
      </c>
      <c r="W34" s="4"/>
      <c r="AP34" s="25">
        <f>17-COUNTIF(D34:T34,"")</f>
        <v>1</v>
      </c>
      <c r="AQ34" t="str">
        <f>CONCATENATE($C$2,BB34)</f>
        <v>Male27</v>
      </c>
      <c r="AS34" s="25">
        <f>SUM(D34:H34)</f>
        <v>0</v>
      </c>
      <c r="AT34" s="25">
        <f>SUM(I34:M34)</f>
        <v>72.71150396737619</v>
      </c>
      <c r="AU34" s="25">
        <f>SUM(N34:S34)</f>
        <v>0</v>
      </c>
      <c r="AV34" s="25">
        <f>IF($AS34&gt;0,LARGE(D34:H34,1),0)</f>
        <v>0</v>
      </c>
      <c r="AW34" s="25">
        <f>IF($AT34&gt;0,LARGE(I34:M34,1),0)</f>
        <v>72.71150396737619</v>
      </c>
      <c r="AX34" s="25">
        <f>IF($AU34&gt;0,LARGE(N34:S34,1),0)</f>
        <v>0</v>
      </c>
      <c r="AY34" s="25">
        <f>IF('League Summary'!$X$2=1,T34,"")</f>
      </c>
      <c r="AZ34" s="25">
        <f>SUM(AV34:AY34)</f>
        <v>72.71150396737619</v>
      </c>
      <c r="BA34" t="str">
        <f>IF(AND(AV34&gt;0,AW34&gt;0,AX34&gt;0,(AP34&gt;=4)),"Q","NQ")</f>
        <v>NQ</v>
      </c>
      <c r="BB34">
        <f>IF(AZ34&gt;0,RANK(AZ34,AZ$8:AZ$86,0),"")</f>
        <v>27</v>
      </c>
      <c r="BC34" t="str">
        <f>A33</f>
        <v>Geraint Evans</v>
      </c>
      <c r="BD34">
        <f t="shared" si="2"/>
        <v>46</v>
      </c>
      <c r="BN34">
        <v>34</v>
      </c>
      <c r="BO34" s="108">
        <f t="shared" si="0"/>
      </c>
    </row>
    <row r="35" spans="1:70" ht="12.75">
      <c r="A35" s="192" t="s">
        <v>215</v>
      </c>
      <c r="B35" s="193">
        <v>31</v>
      </c>
      <c r="C35" s="194" t="s">
        <v>36</v>
      </c>
      <c r="D35" s="195">
        <v>0.01375</v>
      </c>
      <c r="E35" s="195">
        <v>0</v>
      </c>
      <c r="F35" s="195">
        <v>0</v>
      </c>
      <c r="G35" s="195">
        <v>0</v>
      </c>
      <c r="H35" s="195">
        <v>0</v>
      </c>
      <c r="I35" s="195">
        <v>0.023668981481481485</v>
      </c>
      <c r="J35" s="195">
        <v>0.029583333333333336</v>
      </c>
      <c r="K35" s="195">
        <v>0</v>
      </c>
      <c r="L35" s="195">
        <v>0</v>
      </c>
      <c r="M35" s="195">
        <v>0.029479166666666667</v>
      </c>
      <c r="N35" s="195">
        <v>0</v>
      </c>
      <c r="O35" s="195">
        <v>0</v>
      </c>
      <c r="P35" s="195">
        <v>0.049317129629629634</v>
      </c>
      <c r="Q35" s="195">
        <v>0</v>
      </c>
      <c r="R35" s="195">
        <v>0</v>
      </c>
      <c r="S35" s="196">
        <v>0</v>
      </c>
      <c r="T35" s="196">
        <v>0.029479166666666667</v>
      </c>
      <c r="U35" s="197">
        <v>5</v>
      </c>
      <c r="V35" s="198" t="s">
        <v>18</v>
      </c>
      <c r="W35" s="4"/>
      <c r="BD35">
        <f t="shared" si="2"/>
        <v>0</v>
      </c>
      <c r="BJ35" t="str">
        <f>IF(BO35&gt;0,"In","")</f>
        <v>In</v>
      </c>
      <c r="BK35" s="41">
        <f>IF(BJ35="In",BO35,"")</f>
        <v>0.029479166666666667</v>
      </c>
      <c r="BL35">
        <f>IF(BJ35="In",RANK(BK35,BK$7:BK$86,1),"")</f>
        <v>7</v>
      </c>
      <c r="BM35" t="str">
        <f>CONCATENATE(BJ35,BL35)</f>
        <v>In7</v>
      </c>
      <c r="BN35">
        <v>35</v>
      </c>
      <c r="BO35" s="41">
        <f t="shared" si="0"/>
        <v>0.029479166666666667</v>
      </c>
      <c r="BP35">
        <f t="shared" si="3"/>
        <v>64.66662047622347</v>
      </c>
      <c r="BQ35" t="str">
        <f>IF($BJ35="In",A35,"")</f>
        <v>Daniel Burgess</v>
      </c>
      <c r="BR35">
        <f>IF($BJ35="In",B35,"")</f>
        <v>31</v>
      </c>
    </row>
    <row r="36" spans="1:67" ht="13.5" thickBot="1">
      <c r="A36" s="48" t="str">
        <f>CONCATENATE(A35,C36)</f>
        <v>Daniel BurgessPoints</v>
      </c>
      <c r="B36" s="46"/>
      <c r="C36" s="47" t="s">
        <v>37</v>
      </c>
      <c r="D36" s="42">
        <f>IF(D35&gt;0,VLOOKUP(CONCATENATE($C$2,$B35),'Base Calculation'!$A$5:$O$89,D$5+2,FALSE)/D35*100,"")</f>
        <v>65.93503325529468</v>
      </c>
      <c r="E36" s="42">
        <f>IF(E35&gt;0,VLOOKUP(CONCATENATE($C$2,$B35),'Base Calculation'!$A$5:$O$89,E$5+2,FALSE)/E35*100,"")</f>
      </c>
      <c r="F36" s="42">
        <f>IF(F35&gt;0,VLOOKUP(CONCATENATE($C$2,$B35),'Base Calculation'!$A$5:$O$89,F$5+2,FALSE)/F35*100,"")</f>
      </c>
      <c r="G36" s="42">
        <f>IF(G35&gt;0,VLOOKUP(CONCATENATE($C$2,$B35),'Base Calculation'!$A$5:$O$89,G$5+2,FALSE)/G35*100,"")</f>
      </c>
      <c r="H36" s="42">
        <f>IF(H35&gt;0,VLOOKUP(CONCATENATE($C$2,$B35),'Base Calculation'!$A$5:$O$89,H$5+2,FALSE)/H35*100,"")</f>
      </c>
      <c r="I36" s="42">
        <f>IF(I35&gt;0,VLOOKUP(CONCATENATE($C$2,$B35),'Base Calculation'!$A$5:$O$89,I$5+2,FALSE)/I35*100,"")</f>
        <v>65.29801438473952</v>
      </c>
      <c r="J36" s="42">
        <f>IF(J35&gt;0,VLOOKUP(CONCATENATE($C$2,$B35),'Base Calculation'!$A$5:$O$89,J$5+2,FALSE)/J35*100,"")</f>
        <v>64.43892110834943</v>
      </c>
      <c r="K36" s="42">
        <f>IF(K35&gt;0,VLOOKUP(CONCATENATE($C$2,$B35),'Base Calculation'!$A$5:$O$89,K$5+2,FALSE)/K35*100,"")</f>
      </c>
      <c r="L36" s="42">
        <f>IF(L35&gt;0,VLOOKUP(CONCATENATE($C$2,$B35),'Base Calculation'!$A$5:$O$89,L$5+2,FALSE)/L35*100,"")</f>
      </c>
      <c r="M36" s="42">
        <f>IF(M35&gt;0,VLOOKUP(CONCATENATE($C$2,$B35),'Base Calculation'!$A$5:$O$89,M$5+2,FALSE)/M35*100,"")</f>
        <v>64.66662047622347</v>
      </c>
      <c r="N36" s="42">
        <f>IF(N35&gt;0,VLOOKUP(CONCATENATE($C$2,$B35),'Base Calculation'!$A$5:$O$89,N$5+2,FALSE)/N35*100,"")</f>
      </c>
      <c r="O36" s="42">
        <f>IF(O35&gt;0,VLOOKUP(CONCATENATE($C$2,$B35),'Base Calculation'!$A$5:$O$89,O$5+2,FALSE)/O35*100,"")</f>
      </c>
      <c r="P36" s="42">
        <f>IF(P35&gt;0,VLOOKUP(CONCATENATE($C$2,$B35),'Base Calculation'!$A$5:$O$89,P$5+2,FALSE)/P35*100,"")</f>
        <v>62.866299734198726</v>
      </c>
      <c r="Q36" s="42">
        <f>IF(Q35&gt;0,VLOOKUP(CONCATENATE($C$2,$B35),'Base Calculation'!$A$5:$O$89,Q$5+2,FALSE)/Q35*100,"")</f>
      </c>
      <c r="R36" s="42">
        <f>IF(R35&gt;0,VLOOKUP(CONCATENATE($C$2,$B35),'Base Calculation'!$A$5:$O$89,R$5+2,FALSE)/R35*100,"")</f>
      </c>
      <c r="S36" s="42">
        <f>IF(S35&gt;0,VLOOKUP(CONCATENATE($C$2,$B35),'Base Calculation'!$A$5:$O$89,S$5+2,FALSE)/S35*100,"")</f>
      </c>
      <c r="T36" s="83">
        <f>IF(T35&gt;0,VLOOKUP(CONCATENATE($C$2,$B35),'Base Calculation'!$A$5:$O$89,U35+2,FALSE)/T35*100,"")</f>
        <v>64.66662047622347</v>
      </c>
      <c r="U36" s="89" t="str">
        <f>IF(U35&gt;0,VLOOKUP(U35,BF$2:BG$14,2,FALSE),"")</f>
        <v>10k</v>
      </c>
      <c r="V36" s="90" t="str">
        <f>V35</f>
        <v>Aberystwyth 10k</v>
      </c>
      <c r="W36" s="4"/>
      <c r="AP36" s="25">
        <f>17-COUNTIF(D36:T36,"")</f>
        <v>6</v>
      </c>
      <c r="AQ36" t="str">
        <f>CONCATENATE($C$2,BB36)</f>
        <v>Male12</v>
      </c>
      <c r="AS36" s="25">
        <f>SUM(D36:H36)</f>
        <v>65.93503325529468</v>
      </c>
      <c r="AT36" s="25">
        <f>SUM(I36:M36)</f>
        <v>194.4035559693124</v>
      </c>
      <c r="AU36" s="25">
        <f>SUM(N36:S36)</f>
        <v>62.866299734198726</v>
      </c>
      <c r="AV36" s="25">
        <f>IF($AS36&gt;0,LARGE(D36:H36,1),0)</f>
        <v>65.93503325529468</v>
      </c>
      <c r="AW36" s="25">
        <f>IF($AT36&gt;0,LARGE(I36:M36,1),0)</f>
        <v>65.29801438473952</v>
      </c>
      <c r="AX36" s="25">
        <f>IF($AU36&gt;0,LARGE(N36:S36,1),0)</f>
        <v>62.866299734198726</v>
      </c>
      <c r="AY36" s="25">
        <f>IF('League Summary'!$X$2=1,T36,"")</f>
        <v>64.66662047622347</v>
      </c>
      <c r="AZ36" s="25">
        <f>SUM(AV36:AY36)</f>
        <v>258.7659678504564</v>
      </c>
      <c r="BA36" t="str">
        <f>IF(AND(AV36&gt;0,AW36&gt;0,AX36&gt;0,(AP36&gt;=4)),"Q","NQ")</f>
        <v>Q</v>
      </c>
      <c r="BB36">
        <f>IF(AZ36&gt;0,RANK(AZ36,AZ$8:AZ$86,0),"")</f>
        <v>12</v>
      </c>
      <c r="BC36" t="str">
        <f>A35</f>
        <v>Daniel Burgess</v>
      </c>
      <c r="BD36">
        <f t="shared" si="2"/>
        <v>31</v>
      </c>
      <c r="BN36">
        <v>36</v>
      </c>
      <c r="BO36" s="108">
        <f t="shared" si="0"/>
        <v>64.66662047622347</v>
      </c>
    </row>
    <row r="37" spans="1:70" ht="12.75">
      <c r="A37" s="192" t="s">
        <v>219</v>
      </c>
      <c r="B37" s="193">
        <v>44</v>
      </c>
      <c r="C37" s="194" t="s">
        <v>36</v>
      </c>
      <c r="D37" s="195">
        <v>0.012997685185185183</v>
      </c>
      <c r="E37" s="195">
        <v>0</v>
      </c>
      <c r="F37" s="195">
        <v>0</v>
      </c>
      <c r="G37" s="195">
        <v>0</v>
      </c>
      <c r="H37" s="195">
        <v>0</v>
      </c>
      <c r="I37" s="195">
        <v>0</v>
      </c>
      <c r="J37" s="195">
        <v>0</v>
      </c>
      <c r="K37" s="195">
        <v>0</v>
      </c>
      <c r="L37" s="195">
        <v>0</v>
      </c>
      <c r="M37" s="195">
        <v>0.02670138888888889</v>
      </c>
      <c r="N37" s="195">
        <v>0</v>
      </c>
      <c r="O37" s="195">
        <v>0</v>
      </c>
      <c r="P37" s="195">
        <v>0</v>
      </c>
      <c r="Q37" s="195">
        <v>0</v>
      </c>
      <c r="R37" s="195">
        <v>0</v>
      </c>
      <c r="S37" s="196">
        <v>0</v>
      </c>
      <c r="T37" s="196">
        <v>0</v>
      </c>
      <c r="U37" s="197"/>
      <c r="V37" s="198"/>
      <c r="W37" s="4"/>
      <c r="BD37">
        <f t="shared" si="2"/>
        <v>0</v>
      </c>
      <c r="BJ37" t="str">
        <f>IF(BO37&gt;0,"In","")</f>
        <v>In</v>
      </c>
      <c r="BK37" s="41">
        <f>IF(BJ37="In",BO37,"")</f>
        <v>0.02670138888888889</v>
      </c>
      <c r="BL37">
        <f>IF(BJ37="In",RANK(BK37,BK$7:BK$86,1),"")</f>
        <v>2</v>
      </c>
      <c r="BM37" t="str">
        <f>CONCATENATE(BJ37,BL37)</f>
        <v>In2</v>
      </c>
      <c r="BN37">
        <v>37</v>
      </c>
      <c r="BO37" s="41">
        <f t="shared" si="0"/>
        <v>0.02670138888888889</v>
      </c>
      <c r="BP37">
        <f t="shared" si="3"/>
        <v>77.28453291620447</v>
      </c>
      <c r="BQ37" t="str">
        <f>IF($BJ37="In",A37,"")</f>
        <v>Paul Scullion</v>
      </c>
      <c r="BR37">
        <f>IF($BJ37="In",B37,"")</f>
        <v>44</v>
      </c>
    </row>
    <row r="38" spans="1:67" ht="13.5" thickBot="1">
      <c r="A38" s="48" t="str">
        <f>CONCATENATE(A37,C38)</f>
        <v>Paul ScullionPoints</v>
      </c>
      <c r="B38" s="46"/>
      <c r="C38" s="47" t="s">
        <v>37</v>
      </c>
      <c r="D38" s="42">
        <f>IF(D37&gt;0,VLOOKUP(CONCATENATE($C$2,$B37),'Base Calculation'!$A$5:$O$89,D$5+2,FALSE)/D37*100,"")</f>
        <v>75.50643835354869</v>
      </c>
      <c r="E38" s="42">
        <f>IF(E37&gt;0,VLOOKUP(CONCATENATE($C$2,$B37),'Base Calculation'!$A$5:$O$89,E$5+2,FALSE)/E37*100,"")</f>
      </c>
      <c r="F38" s="42">
        <f>IF(F37&gt;0,VLOOKUP(CONCATENATE($C$2,$B37),'Base Calculation'!$A$5:$O$89,F$5+2,FALSE)/F37*100,"")</f>
      </c>
      <c r="G38" s="42">
        <f>IF(G37&gt;0,VLOOKUP(CONCATENATE($C$2,$B37),'Base Calculation'!$A$5:$O$89,G$5+2,FALSE)/G37*100,"")</f>
      </c>
      <c r="H38" s="42">
        <f>IF(H37&gt;0,VLOOKUP(CONCATENATE($C$2,$B37),'Base Calculation'!$A$5:$O$89,H$5+2,FALSE)/H37*100,"")</f>
      </c>
      <c r="I38" s="42">
        <f>IF(I37&gt;0,VLOOKUP(CONCATENATE($C$2,$B37),'Base Calculation'!$A$5:$O$89,I$5+2,FALSE)/I37*100,"")</f>
      </c>
      <c r="J38" s="42">
        <f>IF(J37&gt;0,VLOOKUP(CONCATENATE($C$2,$B37),'Base Calculation'!$A$5:$O$89,J$5+2,FALSE)/J37*100,"")</f>
      </c>
      <c r="K38" s="42">
        <f>IF(K37&gt;0,VLOOKUP(CONCATENATE($C$2,$B37),'Base Calculation'!$A$5:$O$89,K$5+2,FALSE)/K37*100,"")</f>
      </c>
      <c r="L38" s="42">
        <f>IF(L37&gt;0,VLOOKUP(CONCATENATE($C$2,$B37),'Base Calculation'!$A$5:$O$89,L$5+2,FALSE)/L37*100,"")</f>
      </c>
      <c r="M38" s="42">
        <f>IF(M37&gt;0,VLOOKUP(CONCATENATE($C$2,$B37),'Base Calculation'!$A$5:$O$89,M$5+2,FALSE)/M37*100,"")</f>
        <v>77.28453291620447</v>
      </c>
      <c r="N38" s="42">
        <f>IF(N37&gt;0,VLOOKUP(CONCATENATE($C$2,$B37),'Base Calculation'!$A$5:$O$89,N$5+2,FALSE)/N37*100,"")</f>
      </c>
      <c r="O38" s="42">
        <f>IF(O37&gt;0,VLOOKUP(CONCATENATE($C$2,$B37),'Base Calculation'!$A$5:$O$89,O$5+2,FALSE)/O37*100,"")</f>
      </c>
      <c r="P38" s="42">
        <f>IF(P37&gt;0,VLOOKUP(CONCATENATE($C$2,$B37),'Base Calculation'!$A$5:$O$89,P$5+2,FALSE)/P37*100,"")</f>
      </c>
      <c r="Q38" s="42">
        <f>IF(Q37&gt;0,VLOOKUP(CONCATENATE($C$2,$B37),'Base Calculation'!$A$5:$O$89,Q$5+2,FALSE)/Q37*100,"")</f>
      </c>
      <c r="R38" s="42">
        <f>IF(R37&gt;0,VLOOKUP(CONCATENATE($C$2,$B37),'Base Calculation'!$A$5:$O$89,R$5+2,FALSE)/R37*100,"")</f>
      </c>
      <c r="S38" s="42">
        <f>IF(S37&gt;0,VLOOKUP(CONCATENATE($C$2,$B37),'Base Calculation'!$A$5:$O$89,S$5+2,FALSE)/S37*100,"")</f>
      </c>
      <c r="T38" s="83">
        <f>IF(T37&gt;0,VLOOKUP(CONCATENATE($C$2,$B37),'Base Calculation'!$A$5:$O$89,U37+2,FALSE)/T37*100,"")</f>
      </c>
      <c r="U38" s="89">
        <f>IF(U37&gt;0,VLOOKUP(U37,BF$2:BG$14,2,FALSE),"")</f>
      </c>
      <c r="V38" s="90">
        <f>V37</f>
        <v>0</v>
      </c>
      <c r="W38" s="4"/>
      <c r="AP38" s="25">
        <f>17-COUNTIF(D38:T38,"")</f>
        <v>2</v>
      </c>
      <c r="AQ38" t="str">
        <f>CONCATENATE($C$2,BB38)</f>
        <v>Male15</v>
      </c>
      <c r="AS38" s="25">
        <f>SUM(D38:H38)</f>
        <v>75.50643835354869</v>
      </c>
      <c r="AT38" s="25">
        <f>SUM(I38:M38)</f>
        <v>77.28453291620447</v>
      </c>
      <c r="AU38" s="25">
        <f>SUM(N38:S38)</f>
        <v>0</v>
      </c>
      <c r="AV38" s="25">
        <f>IF($AS38&gt;0,LARGE(D38:H38,1),0)</f>
        <v>75.50643835354869</v>
      </c>
      <c r="AW38" s="25">
        <f>IF($AT38&gt;0,LARGE(I38:M38,1),0)</f>
        <v>77.28453291620447</v>
      </c>
      <c r="AX38" s="25">
        <f>IF($AU38&gt;0,LARGE(N38:S38,1),0)</f>
        <v>0</v>
      </c>
      <c r="AY38" s="25">
        <f>IF('League Summary'!$X$2=1,T38,"")</f>
      </c>
      <c r="AZ38" s="25">
        <f>SUM(AV38:AY38)</f>
        <v>152.79097126975316</v>
      </c>
      <c r="BA38" t="str">
        <f>IF(AND(AV38&gt;0,AW38&gt;0,AX38&gt;0,(AP38&gt;=4)),"Q","NQ")</f>
        <v>NQ</v>
      </c>
      <c r="BB38">
        <f>IF(AZ38&gt;0,RANK(AZ38,AZ$8:AZ$86,0),"")</f>
        <v>15</v>
      </c>
      <c r="BC38" t="str">
        <f>A37</f>
        <v>Paul Scullion</v>
      </c>
      <c r="BD38">
        <f t="shared" si="2"/>
        <v>44</v>
      </c>
      <c r="BN38">
        <v>38</v>
      </c>
      <c r="BO38" s="108">
        <f t="shared" si="0"/>
        <v>77.28453291620447</v>
      </c>
    </row>
    <row r="39" spans="1:70" ht="12.75">
      <c r="A39" s="192" t="s">
        <v>220</v>
      </c>
      <c r="B39" s="193">
        <v>34</v>
      </c>
      <c r="C39" s="194" t="s">
        <v>36</v>
      </c>
      <c r="D39" s="195">
        <v>0.013449074074074073</v>
      </c>
      <c r="E39" s="195">
        <v>0.013391203703703704</v>
      </c>
      <c r="F39" s="195">
        <v>0</v>
      </c>
      <c r="G39" s="195">
        <v>0.013055555555555556</v>
      </c>
      <c r="H39" s="195">
        <v>0.014143402777777777</v>
      </c>
      <c r="I39" s="195">
        <v>0</v>
      </c>
      <c r="J39" s="195">
        <v>0</v>
      </c>
      <c r="K39" s="195">
        <v>0</v>
      </c>
      <c r="L39" s="195">
        <v>0.02091435185185185</v>
      </c>
      <c r="M39" s="195">
        <v>0.02766203703703704</v>
      </c>
      <c r="N39" s="195">
        <v>0</v>
      </c>
      <c r="O39" s="195">
        <v>0</v>
      </c>
      <c r="P39" s="195">
        <v>0</v>
      </c>
      <c r="Q39" s="195">
        <v>0</v>
      </c>
      <c r="R39" s="195">
        <v>0</v>
      </c>
      <c r="S39" s="196">
        <v>0.04793981481481482</v>
      </c>
      <c r="T39" s="196">
        <v>0.02766203703703704</v>
      </c>
      <c r="U39" s="197">
        <v>5</v>
      </c>
      <c r="V39" s="198" t="s">
        <v>18</v>
      </c>
      <c r="W39" s="4"/>
      <c r="BD39">
        <f t="shared" si="2"/>
        <v>0</v>
      </c>
      <c r="BJ39" t="str">
        <f>IF(BO39&gt;0,"In","")</f>
        <v>In</v>
      </c>
      <c r="BK39" s="41">
        <f>IF(BJ39="In",BO39,"")</f>
        <v>0.02766203703703704</v>
      </c>
      <c r="BL39">
        <f>IF(BJ39="In",RANK(BK39,BK$7:BK$86,1),"")</f>
        <v>3</v>
      </c>
      <c r="BM39" t="str">
        <f>CONCATENATE(BJ39,BL39)</f>
        <v>In3</v>
      </c>
      <c r="BN39">
        <v>39</v>
      </c>
      <c r="BO39" s="41">
        <f aca="true" t="shared" si="4" ref="BO39:BO70">HLOOKUP($BO$4,D$4:S$86,BN39-3,FALSE)</f>
        <v>0.02766203703703704</v>
      </c>
      <c r="BP39">
        <f t="shared" si="3"/>
        <v>70.08443077365423</v>
      </c>
      <c r="BQ39" t="str">
        <f>IF($BJ39="In",A39,"")</f>
        <v>Shelley Childs</v>
      </c>
      <c r="BR39">
        <f>IF($BJ39="In",B39,"")</f>
        <v>34</v>
      </c>
    </row>
    <row r="40" spans="1:67" ht="13.5" thickBot="1">
      <c r="A40" s="48" t="str">
        <f>CONCATENATE(A39,C40)</f>
        <v>Shelley ChildsPoints</v>
      </c>
      <c r="B40" s="46"/>
      <c r="C40" s="47" t="s">
        <v>37</v>
      </c>
      <c r="D40" s="42">
        <f>IF(D39&gt;0,VLOOKUP(CONCATENATE($C$2,$B39),'Base Calculation'!$A$5:$O$89,D$5+2,FALSE)/D39*100,"")</f>
        <v>68.5546445639687</v>
      </c>
      <c r="E40" s="42">
        <f>IF(E39&gt;0,VLOOKUP(CONCATENATE($C$2,$B39),'Base Calculation'!$A$5:$O$89,E$5+2,FALSE)/E39*100,"")</f>
        <v>68.85090491212759</v>
      </c>
      <c r="F40" s="42">
        <f>IF(F39&gt;0,VLOOKUP(CONCATENATE($C$2,$B39),'Base Calculation'!$A$5:$O$89,F$5+2,FALSE)/F39*100,"")</f>
      </c>
      <c r="G40" s="42">
        <f>IF(G39&gt;0,VLOOKUP(CONCATENATE($C$2,$B39),'Base Calculation'!$A$5:$O$89,G$5+2,FALSE)/G39*100,"")</f>
        <v>70.62100796394647</v>
      </c>
      <c r="H40" s="42">
        <f>IF(H39&gt;0,VLOOKUP(CONCATENATE($C$2,$B39),'Base Calculation'!$A$5:$O$89,H$5+2,FALSE)/H39*100,"")</f>
        <v>65.18915619876728</v>
      </c>
      <c r="I40" s="42">
        <f>IF(I39&gt;0,VLOOKUP(CONCATENATE($C$2,$B39),'Base Calculation'!$A$5:$O$89,I$5+2,FALSE)/I39*100,"")</f>
      </c>
      <c r="J40" s="42">
        <f>IF(J39&gt;0,VLOOKUP(CONCATENATE($C$2,$B39),'Base Calculation'!$A$5:$O$89,J$5+2,FALSE)/J39*100,"")</f>
      </c>
      <c r="K40" s="42">
        <f>IF(K39&gt;0,VLOOKUP(CONCATENATE($C$2,$B39),'Base Calculation'!$A$5:$O$89,K$5+2,FALSE)/K39*100,"")</f>
      </c>
      <c r="L40" s="42">
        <f>IF(L39&gt;0,VLOOKUP(CONCATENATE($C$2,$B39),'Base Calculation'!$A$5:$O$89,L$5+2,FALSE)/L39*100,"")</f>
        <v>75.15285371740366</v>
      </c>
      <c r="M40" s="42">
        <f>IF(M39&gt;0,VLOOKUP(CONCATENATE($C$2,$B39),'Base Calculation'!$A$5:$O$89,M$5+2,FALSE)/M39*100,"")</f>
        <v>70.08443077365423</v>
      </c>
      <c r="N40" s="42">
        <f>IF(N39&gt;0,VLOOKUP(CONCATENATE($C$2,$B39),'Base Calculation'!$A$5:$O$89,N$5+2,FALSE)/N39*100,"")</f>
      </c>
      <c r="O40" s="42">
        <f>IF(O39&gt;0,VLOOKUP(CONCATENATE($C$2,$B39),'Base Calculation'!$A$5:$O$89,O$5+2,FALSE)/O39*100,"")</f>
      </c>
      <c r="P40" s="42">
        <f>IF(P39&gt;0,VLOOKUP(CONCATENATE($C$2,$B39),'Base Calculation'!$A$5:$O$89,P$5+2,FALSE)/P39*100,"")</f>
      </c>
      <c r="Q40" s="42">
        <f>IF(Q39&gt;0,VLOOKUP(CONCATENATE($C$2,$B39),'Base Calculation'!$A$5:$O$89,Q$5+2,FALSE)/Q39*100,"")</f>
      </c>
      <c r="R40" s="42">
        <f>IF(R39&gt;0,VLOOKUP(CONCATENATE($C$2,$B39),'Base Calculation'!$A$5:$O$89,R$5+2,FALSE)/R39*100,"")</f>
      </c>
      <c r="S40" s="42">
        <f>IF(S39&gt;0,VLOOKUP(CONCATENATE($C$2,$B39),'Base Calculation'!$A$5:$O$89,S$5+2,FALSE)/S39*100,"")</f>
        <v>65.7702783420893</v>
      </c>
      <c r="T40" s="91">
        <f>IF(T39&gt;0,VLOOKUP(CONCATENATE($C$2,$B39),'Base Calculation'!$A$5:$O$89,U39+2,FALSE)/T39*100,"")</f>
        <v>70.08443077365423</v>
      </c>
      <c r="U40" s="92" t="str">
        <f>IF(U39&gt;0,VLOOKUP(U39,BF$2:BG$14,2,FALSE),"")</f>
        <v>10k</v>
      </c>
      <c r="V40" s="93" t="str">
        <f>V39</f>
        <v>Aberystwyth 10k</v>
      </c>
      <c r="W40" s="4"/>
      <c r="AP40" s="25">
        <f>17-COUNTIF(D40:T40,"")</f>
        <v>8</v>
      </c>
      <c r="AQ40" t="str">
        <f>CONCATENATE($C$2,BB40)</f>
        <v>Male8</v>
      </c>
      <c r="AS40" s="25">
        <f>SUM(D40:H40)</f>
        <v>273.21571363881003</v>
      </c>
      <c r="AT40" s="25">
        <f>SUM(I40:M40)</f>
        <v>145.2372844910579</v>
      </c>
      <c r="AU40" s="25">
        <f>SUM(N40:S40)</f>
        <v>65.7702783420893</v>
      </c>
      <c r="AV40" s="25">
        <f>IF($AS40&gt;0,LARGE(D40:H40,1),0)</f>
        <v>70.62100796394647</v>
      </c>
      <c r="AW40" s="25">
        <f>IF($AT40&gt;0,LARGE(I40:M40,1),0)</f>
        <v>75.15285371740366</v>
      </c>
      <c r="AX40" s="25">
        <f>IF($AU40&gt;0,LARGE(N40:S40,1),0)</f>
        <v>65.7702783420893</v>
      </c>
      <c r="AY40" s="25">
        <f>IF('League Summary'!$X$2=1,T40,"")</f>
        <v>70.08443077365423</v>
      </c>
      <c r="AZ40" s="25">
        <f>SUM(AV40:AY40)</f>
        <v>281.62857079709363</v>
      </c>
      <c r="BA40" t="str">
        <f>IF(AND(AV40&gt;0,AW40&gt;0,AX40&gt;0,(AP40&gt;=4)),"Q","NQ")</f>
        <v>Q</v>
      </c>
      <c r="BB40">
        <f>IF(AZ40&gt;0,RANK(AZ40,AZ$8:AZ$86,0),"")</f>
        <v>8</v>
      </c>
      <c r="BC40" t="str">
        <f>A39</f>
        <v>Shelley Childs</v>
      </c>
      <c r="BD40">
        <f t="shared" si="2"/>
        <v>34</v>
      </c>
      <c r="BN40">
        <v>40</v>
      </c>
      <c r="BO40" s="108">
        <f t="shared" si="4"/>
        <v>70.08443077365423</v>
      </c>
    </row>
    <row r="41" spans="1:70" ht="12.75">
      <c r="A41" s="192" t="s">
        <v>221</v>
      </c>
      <c r="B41" s="193">
        <v>30</v>
      </c>
      <c r="C41" s="194" t="s">
        <v>36</v>
      </c>
      <c r="D41" s="195">
        <v>0.013773148148148147</v>
      </c>
      <c r="E41" s="195">
        <v>0</v>
      </c>
      <c r="F41" s="195">
        <v>0</v>
      </c>
      <c r="G41" s="195">
        <v>0</v>
      </c>
      <c r="H41" s="195">
        <v>0</v>
      </c>
      <c r="I41" s="195">
        <v>0</v>
      </c>
      <c r="J41" s="195">
        <v>0</v>
      </c>
      <c r="K41" s="195">
        <v>0</v>
      </c>
      <c r="L41" s="195">
        <v>0</v>
      </c>
      <c r="M41" s="195">
        <v>0</v>
      </c>
      <c r="N41" s="195">
        <v>0</v>
      </c>
      <c r="O41" s="195">
        <v>0</v>
      </c>
      <c r="P41" s="195">
        <v>0</v>
      </c>
      <c r="Q41" s="195">
        <v>0</v>
      </c>
      <c r="R41" s="195">
        <v>0</v>
      </c>
      <c r="S41" s="196">
        <v>0</v>
      </c>
      <c r="T41" s="196">
        <v>0</v>
      </c>
      <c r="U41" s="197"/>
      <c r="V41" s="198"/>
      <c r="W41" s="4"/>
      <c r="BD41">
        <f t="shared" si="2"/>
        <v>0</v>
      </c>
      <c r="BJ41">
        <f>IF(BO41&gt;0,"In","")</f>
      </c>
      <c r="BK41" s="41">
        <f>IF(BJ41="In",BO41,"")</f>
      </c>
      <c r="BL41">
        <f>IF(BJ41="In",RANK(BK41,BK$7:BK$86,1),"")</f>
      </c>
      <c r="BM41">
        <f>CONCATENATE(BJ41,BL41)</f>
      </c>
      <c r="BN41">
        <v>41</v>
      </c>
      <c r="BO41" s="41">
        <f t="shared" si="4"/>
        <v>0</v>
      </c>
      <c r="BP41">
        <f t="shared" si="3"/>
      </c>
      <c r="BQ41">
        <f>IF($BJ41="In",A41,"")</f>
      </c>
      <c r="BR41">
        <f>IF($BJ41="In",B41,"")</f>
      </c>
    </row>
    <row r="42" spans="1:67" ht="13.5" thickBot="1">
      <c r="A42" s="48" t="str">
        <f>CONCATENATE(A41,C42)</f>
        <v>Tomos HywelPoints</v>
      </c>
      <c r="B42" s="46"/>
      <c r="C42" s="47" t="s">
        <v>37</v>
      </c>
      <c r="D42" s="42">
        <f>IF(D41&gt;0,VLOOKUP(CONCATENATE($C$2,$B41),'Base Calculation'!$A$5:$O$89,D$5+2,FALSE)/D41*100,"")</f>
        <v>65.46218487394958</v>
      </c>
      <c r="E42" s="42">
        <f>IF(E41&gt;0,VLOOKUP(CONCATENATE($C$2,$B41),'Base Calculation'!$A$5:$O$89,E$5+2,FALSE)/E41*100,"")</f>
      </c>
      <c r="F42" s="42">
        <f>IF(F41&gt;0,VLOOKUP(CONCATENATE($C$2,$B41),'Base Calculation'!$A$5:$O$89,F$5+2,FALSE)/F41*100,"")</f>
      </c>
      <c r="G42" s="42">
        <f>IF(G41&gt;0,VLOOKUP(CONCATENATE($C$2,$B41),'Base Calculation'!$A$5:$O$89,G$5+2,FALSE)/G41*100,"")</f>
      </c>
      <c r="H42" s="42">
        <f>IF(H41&gt;0,VLOOKUP(CONCATENATE($C$2,$B41),'Base Calculation'!$A$5:$O$89,H$5+2,FALSE)/H41*100,"")</f>
      </c>
      <c r="I42" s="42">
        <f>IF(I41&gt;0,VLOOKUP(CONCATENATE($C$2,$B41),'Base Calculation'!$A$5:$O$89,I$5+2,FALSE)/I41*100,"")</f>
      </c>
      <c r="J42" s="42">
        <f>IF(J41&gt;0,VLOOKUP(CONCATENATE($C$2,$B41),'Base Calculation'!$A$5:$O$89,J$5+2,FALSE)/J41*100,"")</f>
      </c>
      <c r="K42" s="42">
        <f>IF(K41&gt;0,VLOOKUP(CONCATENATE($C$2,$B41),'Base Calculation'!$A$5:$O$89,K$5+2,FALSE)/K41*100,"")</f>
      </c>
      <c r="L42" s="42">
        <f>IF(L41&gt;0,VLOOKUP(CONCATENATE($C$2,$B41),'Base Calculation'!$A$5:$O$89,L$5+2,FALSE)/L41*100,"")</f>
      </c>
      <c r="M42" s="42">
        <f>IF(M41&gt;0,VLOOKUP(CONCATENATE($C$2,$B41),'Base Calculation'!$A$5:$O$89,M$5+2,FALSE)/M41*100,"")</f>
      </c>
      <c r="N42" s="42">
        <f>IF(N41&gt;0,VLOOKUP(CONCATENATE($C$2,$B41),'Base Calculation'!$A$5:$O$89,N$5+2,FALSE)/N41*100,"")</f>
      </c>
      <c r="O42" s="42">
        <f>IF(O41&gt;0,VLOOKUP(CONCATENATE($C$2,$B41),'Base Calculation'!$A$5:$O$89,O$5+2,FALSE)/O41*100,"")</f>
      </c>
      <c r="P42" s="42">
        <f>IF(P41&gt;0,VLOOKUP(CONCATENATE($C$2,$B41),'Base Calculation'!$A$5:$O$89,P$5+2,FALSE)/P41*100,"")</f>
      </c>
      <c r="Q42" s="42">
        <f>IF(Q41&gt;0,VLOOKUP(CONCATENATE($C$2,$B41),'Base Calculation'!$A$5:$O$89,Q$5+2,FALSE)/Q41*100,"")</f>
      </c>
      <c r="R42" s="42">
        <f>IF(R41&gt;0,VLOOKUP(CONCATENATE($C$2,$B41),'Base Calculation'!$A$5:$O$89,R$5+2,FALSE)/R41*100,"")</f>
      </c>
      <c r="S42" s="42">
        <f>IF(S41&gt;0,VLOOKUP(CONCATENATE($C$2,$B41),'Base Calculation'!$A$5:$O$89,S$5+2,FALSE)/S41*100,"")</f>
      </c>
      <c r="T42" s="83">
        <f>IF(T41&gt;0,VLOOKUP(CONCATENATE($C$2,$B41),'Base Calculation'!$A$5:$O$89,U41+2,FALSE)/T41*100,"")</f>
      </c>
      <c r="U42" s="89">
        <f>IF(U41&gt;0,VLOOKUP(U41,BF$2:BG$14,2,FALSE),"")</f>
      </c>
      <c r="V42" s="90">
        <f>V41</f>
        <v>0</v>
      </c>
      <c r="W42" s="4"/>
      <c r="AP42" s="25">
        <f>17-COUNTIF(D42:T42,"")</f>
        <v>1</v>
      </c>
      <c r="AQ42" t="str">
        <f>CONCATENATE($C$2,BB42)</f>
        <v>Male29</v>
      </c>
      <c r="AS42" s="25">
        <f>SUM(D42:H42)</f>
        <v>65.46218487394958</v>
      </c>
      <c r="AT42" s="25">
        <f>SUM(I42:M42)</f>
        <v>0</v>
      </c>
      <c r="AU42" s="25">
        <f>SUM(N42:S42)</f>
        <v>0</v>
      </c>
      <c r="AV42" s="25">
        <f>IF($AS42&gt;0,LARGE(D42:H42,1),0)</f>
        <v>65.46218487394958</v>
      </c>
      <c r="AW42" s="25">
        <f>IF($AT42&gt;0,LARGE(I42:M42,1),0)</f>
        <v>0</v>
      </c>
      <c r="AX42" s="25">
        <f>IF($AU42&gt;0,LARGE(N42:S42,1),0)</f>
        <v>0</v>
      </c>
      <c r="AY42" s="25">
        <f>IF('League Summary'!$X$2=1,T42,"")</f>
      </c>
      <c r="AZ42" s="25">
        <f>SUM(AV42:AY42)</f>
        <v>65.46218487394958</v>
      </c>
      <c r="BA42" t="str">
        <f>IF(AND(AV42&gt;0,AW42&gt;0,AX42&gt;0,(AP42&gt;=4)),"Q","NQ")</f>
        <v>NQ</v>
      </c>
      <c r="BB42">
        <f>IF(AZ42&gt;0,RANK(AZ42,AZ$8:AZ$86,0),"")</f>
        <v>29</v>
      </c>
      <c r="BC42" t="str">
        <f>A41</f>
        <v>Tomos Hywel</v>
      </c>
      <c r="BD42">
        <f t="shared" si="2"/>
        <v>30</v>
      </c>
      <c r="BN42">
        <v>42</v>
      </c>
      <c r="BO42" s="108">
        <f t="shared" si="4"/>
      </c>
    </row>
    <row r="43" spans="1:70" ht="12.75">
      <c r="A43" s="192" t="s">
        <v>222</v>
      </c>
      <c r="B43" s="193">
        <v>30</v>
      </c>
      <c r="C43" s="194" t="s">
        <v>36</v>
      </c>
      <c r="D43" s="195">
        <v>0.013912037037037037</v>
      </c>
      <c r="E43" s="195">
        <v>0.013541666666666667</v>
      </c>
      <c r="F43" s="195">
        <v>0.013541666666666667</v>
      </c>
      <c r="G43" s="195">
        <v>0</v>
      </c>
      <c r="H43" s="195">
        <v>0</v>
      </c>
      <c r="I43" s="195">
        <v>0</v>
      </c>
      <c r="J43" s="195">
        <v>0</v>
      </c>
      <c r="K43" s="195">
        <v>0</v>
      </c>
      <c r="L43" s="195">
        <v>0</v>
      </c>
      <c r="M43" s="195">
        <v>0.028854166666666667</v>
      </c>
      <c r="N43" s="195">
        <v>0</v>
      </c>
      <c r="O43" s="195">
        <v>0</v>
      </c>
      <c r="P43" s="195">
        <v>0</v>
      </c>
      <c r="Q43" s="195">
        <v>0</v>
      </c>
      <c r="R43" s="195">
        <v>0</v>
      </c>
      <c r="S43" s="196">
        <v>0</v>
      </c>
      <c r="T43" s="196">
        <v>0</v>
      </c>
      <c r="U43" s="197"/>
      <c r="V43" s="198"/>
      <c r="W43" s="4"/>
      <c r="BD43">
        <f t="shared" si="2"/>
        <v>0</v>
      </c>
      <c r="BJ43" t="str">
        <f>IF(BO43&gt;0,"In","")</f>
        <v>In</v>
      </c>
      <c r="BK43" s="41">
        <f>IF(BJ43="In",BO43,"")</f>
        <v>0.028854166666666667</v>
      </c>
      <c r="BL43">
        <f>IF(BJ43="In",RANK(BK43,BK$7:BK$86,1),"")</f>
        <v>5</v>
      </c>
      <c r="BM43" t="str">
        <f>CONCATENATE(BJ43,BL43)</f>
        <v>In5</v>
      </c>
      <c r="BN43">
        <v>43</v>
      </c>
      <c r="BO43" s="41">
        <f t="shared" si="4"/>
        <v>0.028854166666666667</v>
      </c>
      <c r="BP43">
        <f t="shared" si="3"/>
        <v>65.70397111913357</v>
      </c>
      <c r="BQ43" t="str">
        <f>IF($BJ43="In",A43,"")</f>
        <v>Gethin Holland</v>
      </c>
      <c r="BR43">
        <f>IF($BJ43="In",B43,"")</f>
        <v>30</v>
      </c>
    </row>
    <row r="44" spans="1:67" ht="13.5" thickBot="1">
      <c r="A44" s="48" t="str">
        <f>CONCATENATE(A43,C44)</f>
        <v>Gethin HollandPoints</v>
      </c>
      <c r="B44" s="46"/>
      <c r="C44" s="47" t="s">
        <v>37</v>
      </c>
      <c r="D44" s="42">
        <f>IF(D43&gt;0,VLOOKUP(CONCATENATE($C$2,$B43),'Base Calculation'!$A$5:$O$89,D$5+2,FALSE)/D43*100,"")</f>
        <v>64.80865224625624</v>
      </c>
      <c r="E44" s="42">
        <f>IF(E43&gt;0,VLOOKUP(CONCATENATE($C$2,$B43),'Base Calculation'!$A$5:$O$89,E$5+2,FALSE)/E43*100,"")</f>
        <v>66.58119658119658</v>
      </c>
      <c r="F44" s="42">
        <f>IF(F43&gt;0,VLOOKUP(CONCATENATE($C$2,$B43),'Base Calculation'!$A$5:$O$89,F$5+2,FALSE)/F43*100,"")</f>
        <v>66.58119658119658</v>
      </c>
      <c r="G44" s="42">
        <f>IF(G43&gt;0,VLOOKUP(CONCATENATE($C$2,$B43),'Base Calculation'!$A$5:$O$89,G$5+2,FALSE)/G43*100,"")</f>
      </c>
      <c r="H44" s="42">
        <f>IF(H43&gt;0,VLOOKUP(CONCATENATE($C$2,$B43),'Base Calculation'!$A$5:$O$89,H$5+2,FALSE)/H43*100,"")</f>
      </c>
      <c r="I44" s="42">
        <f>IF(I43&gt;0,VLOOKUP(CONCATENATE($C$2,$B43),'Base Calculation'!$A$5:$O$89,I$5+2,FALSE)/I43*100,"")</f>
      </c>
      <c r="J44" s="42">
        <f>IF(J43&gt;0,VLOOKUP(CONCATENATE($C$2,$B43),'Base Calculation'!$A$5:$O$89,J$5+2,FALSE)/J43*100,"")</f>
      </c>
      <c r="K44" s="42">
        <f>IF(K43&gt;0,VLOOKUP(CONCATENATE($C$2,$B43),'Base Calculation'!$A$5:$O$89,K$5+2,FALSE)/K43*100,"")</f>
      </c>
      <c r="L44" s="42">
        <f>IF(L43&gt;0,VLOOKUP(CONCATENATE($C$2,$B43),'Base Calculation'!$A$5:$O$89,L$5+2,FALSE)/L43*100,"")</f>
      </c>
      <c r="M44" s="42">
        <f>IF(M43&gt;0,VLOOKUP(CONCATENATE($C$2,$B43),'Base Calculation'!$A$5:$O$89,M$5+2,FALSE)/M43*100,"")</f>
        <v>65.70397111913357</v>
      </c>
      <c r="N44" s="42">
        <f>IF(N43&gt;0,VLOOKUP(CONCATENATE($C$2,$B43),'Base Calculation'!$A$5:$O$89,N$5+2,FALSE)/N43*100,"")</f>
      </c>
      <c r="O44" s="42">
        <f>IF(O43&gt;0,VLOOKUP(CONCATENATE($C$2,$B43),'Base Calculation'!$A$5:$O$89,O$5+2,FALSE)/O43*100,"")</f>
      </c>
      <c r="P44" s="42">
        <f>IF(P43&gt;0,VLOOKUP(CONCATENATE($C$2,$B43),'Base Calculation'!$A$5:$O$89,P$5+2,FALSE)/P43*100,"")</f>
      </c>
      <c r="Q44" s="42">
        <f>IF(Q43&gt;0,VLOOKUP(CONCATENATE($C$2,$B43),'Base Calculation'!$A$5:$O$89,Q$5+2,FALSE)/Q43*100,"")</f>
      </c>
      <c r="R44" s="42">
        <f>IF(R43&gt;0,VLOOKUP(CONCATENATE($C$2,$B43),'Base Calculation'!$A$5:$O$89,R$5+2,FALSE)/R43*100,"")</f>
      </c>
      <c r="S44" s="42">
        <f>IF(S43&gt;0,VLOOKUP(CONCATENATE($C$2,$B43),'Base Calculation'!$A$5:$O$89,S$5+2,FALSE)/S43*100,"")</f>
      </c>
      <c r="T44" s="91">
        <f>IF(T43&gt;0,VLOOKUP(CONCATENATE($C$2,$B43),'Base Calculation'!$A$5:$O$89,U43+2,FALSE)/T43*100,"")</f>
      </c>
      <c r="U44" s="92">
        <f>IF(U43&gt;0,VLOOKUP(U43,BF$2:BG$14,2,FALSE),"")</f>
      </c>
      <c r="V44" s="93">
        <f>V43</f>
        <v>0</v>
      </c>
      <c r="W44" s="4"/>
      <c r="AP44" s="25">
        <f>17-COUNTIF(D44:T44,"")</f>
        <v>4</v>
      </c>
      <c r="AQ44" t="str">
        <f>CONCATENATE($C$2,BB44)</f>
        <v>Male19</v>
      </c>
      <c r="AS44" s="25">
        <f>SUM(D44:H44)</f>
        <v>197.9710454086494</v>
      </c>
      <c r="AT44" s="25">
        <f>SUM(I44:M44)</f>
        <v>65.70397111913357</v>
      </c>
      <c r="AU44" s="25">
        <f>SUM(N44:S44)</f>
        <v>0</v>
      </c>
      <c r="AV44" s="25">
        <f>IF($AS44&gt;0,LARGE(D44:H44,1),0)</f>
        <v>66.58119658119658</v>
      </c>
      <c r="AW44" s="25">
        <f>IF($AT44&gt;0,LARGE(I44:M44,1),0)</f>
        <v>65.70397111913357</v>
      </c>
      <c r="AX44" s="25">
        <f>IF($AU44&gt;0,LARGE(N44:S44,1),0)</f>
        <v>0</v>
      </c>
      <c r="AY44" s="25">
        <f>IF('League Summary'!$X$2=1,T44,"")</f>
      </c>
      <c r="AZ44" s="25">
        <f>SUM(AV44:AY44)</f>
        <v>132.28516770033013</v>
      </c>
      <c r="BA44" t="str">
        <f>IF(AND(AV44&gt;0,AW44&gt;0,AX44&gt;0,(AP44&gt;=4)),"Q","NQ")</f>
        <v>NQ</v>
      </c>
      <c r="BB44">
        <f>IF(AZ44&gt;0,RANK(AZ44,AZ$8:AZ$86,0),"")</f>
        <v>19</v>
      </c>
      <c r="BC44" t="str">
        <f>A43</f>
        <v>Gethin Holland</v>
      </c>
      <c r="BD44">
        <f t="shared" si="2"/>
        <v>30</v>
      </c>
      <c r="BN44">
        <v>44</v>
      </c>
      <c r="BO44" s="108">
        <f t="shared" si="4"/>
        <v>65.70397111913357</v>
      </c>
    </row>
    <row r="45" spans="1:70" ht="12.75">
      <c r="A45" s="192" t="s">
        <v>223</v>
      </c>
      <c r="B45" s="193">
        <v>42</v>
      </c>
      <c r="C45" s="194" t="s">
        <v>36</v>
      </c>
      <c r="D45" s="195">
        <v>0.014918981481481483</v>
      </c>
      <c r="E45" s="195">
        <v>0</v>
      </c>
      <c r="F45" s="195">
        <v>0</v>
      </c>
      <c r="G45" s="195">
        <v>0</v>
      </c>
      <c r="H45" s="195">
        <v>0</v>
      </c>
      <c r="I45" s="195">
        <v>0</v>
      </c>
      <c r="J45" s="195">
        <v>0</v>
      </c>
      <c r="K45" s="195">
        <v>0</v>
      </c>
      <c r="L45" s="195">
        <v>0</v>
      </c>
      <c r="M45" s="195">
        <v>0</v>
      </c>
      <c r="N45" s="195">
        <v>0</v>
      </c>
      <c r="O45" s="195">
        <v>0</v>
      </c>
      <c r="P45" s="195">
        <v>0</v>
      </c>
      <c r="Q45" s="195">
        <v>0</v>
      </c>
      <c r="R45" s="195">
        <v>0</v>
      </c>
      <c r="S45" s="196">
        <v>0</v>
      </c>
      <c r="T45" s="196">
        <v>0</v>
      </c>
      <c r="U45" s="197"/>
      <c r="V45" s="198"/>
      <c r="W45" s="4"/>
      <c r="BD45">
        <f t="shared" si="2"/>
        <v>0</v>
      </c>
      <c r="BJ45">
        <f>IF(BO45&gt;0,"In","")</f>
      </c>
      <c r="BK45" s="41">
        <f>IF(BJ45="In",BO45,"")</f>
      </c>
      <c r="BL45">
        <f>IF(BJ45="In",RANK(BK45,BK$7:BK$86,1),"")</f>
      </c>
      <c r="BM45">
        <f>CONCATENATE(BJ45,BL45)</f>
      </c>
      <c r="BN45">
        <v>45</v>
      </c>
      <c r="BO45" s="41">
        <f t="shared" si="4"/>
        <v>0</v>
      </c>
      <c r="BP45">
        <f t="shared" si="3"/>
      </c>
      <c r="BQ45">
        <f>IF($BJ45="In",A45,"")</f>
      </c>
      <c r="BR45">
        <f>IF($BJ45="In",B45,"")</f>
      </c>
    </row>
    <row r="46" spans="1:67" ht="13.5" thickBot="1">
      <c r="A46" s="48" t="str">
        <f>CONCATENATE(A45,C46)</f>
        <v>Peter GarsonPoints</v>
      </c>
      <c r="B46" s="46"/>
      <c r="C46" s="47" t="s">
        <v>37</v>
      </c>
      <c r="D46" s="42">
        <f>IF(D45&gt;0,VLOOKUP(CONCATENATE($C$2,$B45),'Base Calculation'!$A$5:$O$89,D$5+2,FALSE)/D45*100,"")</f>
        <v>64.91347508747486</v>
      </c>
      <c r="E46" s="42">
        <f>IF(E45&gt;0,VLOOKUP(CONCATENATE($C$2,$B45),'Base Calculation'!$A$5:$O$89,E$5+2,FALSE)/E45*100,"")</f>
      </c>
      <c r="F46" s="42">
        <f>IF(F45&gt;0,VLOOKUP(CONCATENATE($C$2,$B45),'Base Calculation'!$A$5:$O$89,F$5+2,FALSE)/F45*100,"")</f>
      </c>
      <c r="G46" s="42">
        <f>IF(G45&gt;0,VLOOKUP(CONCATENATE($C$2,$B45),'Base Calculation'!$A$5:$O$89,G$5+2,FALSE)/G45*100,"")</f>
      </c>
      <c r="H46" s="42">
        <f>IF(H45&gt;0,VLOOKUP(CONCATENATE($C$2,$B45),'Base Calculation'!$A$5:$O$89,H$5+2,FALSE)/H45*100,"")</f>
      </c>
      <c r="I46" s="42">
        <f>IF(I45&gt;0,VLOOKUP(CONCATENATE($C$2,$B45),'Base Calculation'!$A$5:$O$89,I$5+2,FALSE)/I45*100,"")</f>
      </c>
      <c r="J46" s="42">
        <f>IF(J45&gt;0,VLOOKUP(CONCATENATE($C$2,$B45),'Base Calculation'!$A$5:$O$89,J$5+2,FALSE)/J45*100,"")</f>
      </c>
      <c r="K46" s="42">
        <f>IF(K45&gt;0,VLOOKUP(CONCATENATE($C$2,$B45),'Base Calculation'!$A$5:$O$89,K$5+2,FALSE)/K45*100,"")</f>
      </c>
      <c r="L46" s="42">
        <f>IF(L45&gt;0,VLOOKUP(CONCATENATE($C$2,$B45),'Base Calculation'!$A$5:$O$89,L$5+2,FALSE)/L45*100,"")</f>
      </c>
      <c r="M46" s="42">
        <f>IF(M45&gt;0,VLOOKUP(CONCATENATE($C$2,$B45),'Base Calculation'!$A$5:$O$89,M$5+2,FALSE)/M45*100,"")</f>
      </c>
      <c r="N46" s="42">
        <f>IF(N45&gt;0,VLOOKUP(CONCATENATE($C$2,$B45),'Base Calculation'!$A$5:$O$89,N$5+2,FALSE)/N45*100,"")</f>
      </c>
      <c r="O46" s="42">
        <f>IF(O45&gt;0,VLOOKUP(CONCATENATE($C$2,$B45),'Base Calculation'!$A$5:$O$89,O$5+2,FALSE)/O45*100,"")</f>
      </c>
      <c r="P46" s="42">
        <f>IF(P45&gt;0,VLOOKUP(CONCATENATE($C$2,$B45),'Base Calculation'!$A$5:$O$89,P$5+2,FALSE)/P45*100,"")</f>
      </c>
      <c r="Q46" s="42">
        <f>IF(Q45&gt;0,VLOOKUP(CONCATENATE($C$2,$B45),'Base Calculation'!$A$5:$O$89,Q$5+2,FALSE)/Q45*100,"")</f>
      </c>
      <c r="R46" s="42">
        <f>IF(R45&gt;0,VLOOKUP(CONCATENATE($C$2,$B45),'Base Calculation'!$A$5:$O$89,R$5+2,FALSE)/R45*100,"")</f>
      </c>
      <c r="S46" s="42">
        <f>IF(S45&gt;0,VLOOKUP(CONCATENATE($C$2,$B45),'Base Calculation'!$A$5:$O$89,S$5+2,FALSE)/S45*100,"")</f>
      </c>
      <c r="T46" s="83">
        <f>IF(T45&gt;0,VLOOKUP(CONCATENATE($C$2,$B45),'Base Calculation'!$A$5:$O$89,U45+2,FALSE)/T45*100,"")</f>
      </c>
      <c r="U46" s="89">
        <f>IF(U45&gt;0,VLOOKUP(U45,BF$2:BG$14,2,FALSE),"")</f>
      </c>
      <c r="V46" s="90">
        <f>V45</f>
        <v>0</v>
      </c>
      <c r="W46" s="4"/>
      <c r="AP46" s="25">
        <f>17-COUNTIF(D46:T46,"")</f>
        <v>1</v>
      </c>
      <c r="AQ46" t="str">
        <f>CONCATENATE($C$2,BB46)</f>
        <v>Male30</v>
      </c>
      <c r="AS46" s="25">
        <f>SUM(D46:H46)</f>
        <v>64.91347508747486</v>
      </c>
      <c r="AT46" s="25">
        <f>SUM(I46:M46)</f>
        <v>0</v>
      </c>
      <c r="AU46" s="25">
        <f>SUM(N46:S46)</f>
        <v>0</v>
      </c>
      <c r="AV46" s="25">
        <f>IF($AS46&gt;0,LARGE(D46:H46,1),0)</f>
        <v>64.91347508747486</v>
      </c>
      <c r="AW46" s="25">
        <f>IF($AT46&gt;0,LARGE(I46:M46,1),0)</f>
        <v>0</v>
      </c>
      <c r="AX46" s="25">
        <f>IF($AU46&gt;0,LARGE(N46:S46,1),0)</f>
        <v>0</v>
      </c>
      <c r="AY46" s="25">
        <f>IF('League Summary'!$X$2=1,T46,"")</f>
      </c>
      <c r="AZ46" s="25">
        <f>SUM(AV46:AY46)</f>
        <v>64.91347508747486</v>
      </c>
      <c r="BA46" t="str">
        <f>IF(AND(AV46&gt;0,AW46&gt;0,AX46&gt;0,(AP46&gt;=4)),"Q","NQ")</f>
        <v>NQ</v>
      </c>
      <c r="BB46">
        <f>IF(AZ46&gt;0,RANK(AZ46,AZ$8:AZ$86,0),"")</f>
        <v>30</v>
      </c>
      <c r="BC46" t="str">
        <f>A45</f>
        <v>Peter Garson</v>
      </c>
      <c r="BD46">
        <f t="shared" si="2"/>
        <v>42</v>
      </c>
      <c r="BN46">
        <v>46</v>
      </c>
      <c r="BO46" s="108">
        <f t="shared" si="4"/>
      </c>
    </row>
    <row r="47" spans="1:70" ht="12.75">
      <c r="A47" s="192" t="s">
        <v>224</v>
      </c>
      <c r="B47" s="193">
        <v>30</v>
      </c>
      <c r="C47" s="194" t="s">
        <v>36</v>
      </c>
      <c r="D47" s="195">
        <v>0.015509259259259257</v>
      </c>
      <c r="E47" s="195">
        <v>0</v>
      </c>
      <c r="F47" s="195">
        <v>0</v>
      </c>
      <c r="G47" s="195">
        <v>0</v>
      </c>
      <c r="H47" s="195">
        <v>0.014016203703703704</v>
      </c>
      <c r="I47" s="195">
        <v>0</v>
      </c>
      <c r="J47" s="195">
        <v>0</v>
      </c>
      <c r="K47" s="195">
        <v>0</v>
      </c>
      <c r="L47" s="195">
        <v>0</v>
      </c>
      <c r="M47" s="195">
        <v>0</v>
      </c>
      <c r="N47" s="195">
        <v>0</v>
      </c>
      <c r="O47" s="195">
        <v>0</v>
      </c>
      <c r="P47" s="195">
        <v>0</v>
      </c>
      <c r="Q47" s="195">
        <v>0</v>
      </c>
      <c r="R47" s="195">
        <v>0.0659375</v>
      </c>
      <c r="S47" s="196">
        <v>0</v>
      </c>
      <c r="T47" s="196">
        <v>0</v>
      </c>
      <c r="U47" s="197"/>
      <c r="V47" s="198"/>
      <c r="W47" s="4"/>
      <c r="BD47">
        <f t="shared" si="2"/>
        <v>0</v>
      </c>
      <c r="BJ47">
        <f>IF(BO47&gt;0,"In","")</f>
      </c>
      <c r="BK47" s="41">
        <f>IF(BJ47="In",BO47,"")</f>
      </c>
      <c r="BL47">
        <f>IF(BJ47="In",RANK(BK47,BK$7:BK$86,1),"")</f>
      </c>
      <c r="BM47">
        <f>CONCATENATE(BJ47,BL47)</f>
      </c>
      <c r="BN47">
        <v>47</v>
      </c>
      <c r="BO47" s="41">
        <f t="shared" si="4"/>
        <v>0</v>
      </c>
      <c r="BP47">
        <f t="shared" si="3"/>
      </c>
      <c r="BQ47">
        <f>IF($BJ47="In",A47,"")</f>
      </c>
      <c r="BR47">
        <f>IF($BJ47="In",B47,"")</f>
      </c>
    </row>
    <row r="48" spans="1:67" ht="13.5" thickBot="1">
      <c r="A48" s="48" t="str">
        <f>CONCATENATE(A47,C48)</f>
        <v>Daniel DaviesPoints</v>
      </c>
      <c r="B48" s="46"/>
      <c r="C48" s="47" t="s">
        <v>37</v>
      </c>
      <c r="D48" s="42">
        <f>IF(D47&gt;0,VLOOKUP(CONCATENATE($C$2,$B47),'Base Calculation'!$A$5:$O$89,D$5+2,FALSE)/D47*100,"")</f>
        <v>58.13432835820896</v>
      </c>
      <c r="E48" s="42">
        <f>IF(E47&gt;0,VLOOKUP(CONCATENATE($C$2,$B47),'Base Calculation'!$A$5:$O$89,E$5+2,FALSE)/E47*100,"")</f>
      </c>
      <c r="F48" s="42">
        <f>IF(F47&gt;0,VLOOKUP(CONCATENATE($C$2,$B47),'Base Calculation'!$A$5:$O$89,F$5+2,FALSE)/F47*100,"")</f>
      </c>
      <c r="G48" s="42">
        <f>IF(G47&gt;0,VLOOKUP(CONCATENATE($C$2,$B47),'Base Calculation'!$A$5:$O$89,G$5+2,FALSE)/G47*100,"")</f>
      </c>
      <c r="H48" s="42">
        <f>IF(H47&gt;0,VLOOKUP(CONCATENATE($C$2,$B47),'Base Calculation'!$A$5:$O$89,H$5+2,FALSE)/H47*100,"")</f>
        <v>64.32700247729149</v>
      </c>
      <c r="I48" s="42">
        <f>IF(I47&gt;0,VLOOKUP(CONCATENATE($C$2,$B47),'Base Calculation'!$A$5:$O$89,I$5+2,FALSE)/I47*100,"")</f>
      </c>
      <c r="J48" s="42">
        <f>IF(J47&gt;0,VLOOKUP(CONCATENATE($C$2,$B47),'Base Calculation'!$A$5:$O$89,J$5+2,FALSE)/J47*100,"")</f>
      </c>
      <c r="K48" s="42">
        <f>IF(K47&gt;0,VLOOKUP(CONCATENATE($C$2,$B47),'Base Calculation'!$A$5:$O$89,K$5+2,FALSE)/K47*100,"")</f>
      </c>
      <c r="L48" s="42">
        <f>IF(L47&gt;0,VLOOKUP(CONCATENATE($C$2,$B47),'Base Calculation'!$A$5:$O$89,L$5+2,FALSE)/L47*100,"")</f>
      </c>
      <c r="M48" s="42">
        <f>IF(M47&gt;0,VLOOKUP(CONCATENATE($C$2,$B47),'Base Calculation'!$A$5:$O$89,M$5+2,FALSE)/M47*100,"")</f>
      </c>
      <c r="N48" s="42">
        <f>IF(N47&gt;0,VLOOKUP(CONCATENATE($C$2,$B47),'Base Calculation'!$A$5:$O$89,N$5+2,FALSE)/N47*100,"")</f>
      </c>
      <c r="O48" s="42">
        <f>IF(O47&gt;0,VLOOKUP(CONCATENATE($C$2,$B47),'Base Calculation'!$A$5:$O$89,O$5+2,FALSE)/O47*100,"")</f>
      </c>
      <c r="P48" s="42">
        <f>IF(P47&gt;0,VLOOKUP(CONCATENATE($C$2,$B47),'Base Calculation'!$A$5:$O$89,P$5+2,FALSE)/P47*100,"")</f>
      </c>
      <c r="Q48" s="42">
        <f>IF(Q47&gt;0,VLOOKUP(CONCATENATE($C$2,$B47),'Base Calculation'!$A$5:$O$89,Q$5+2,FALSE)/Q47*100,"")</f>
      </c>
      <c r="R48" s="42">
        <f>IF(R47&gt;0,VLOOKUP(CONCATENATE($C$2,$B47),'Base Calculation'!$A$5:$O$89,R$5+2,FALSE)/R47*100,"")</f>
        <v>62.26083903809023</v>
      </c>
      <c r="S48" s="42">
        <f>IF(S47&gt;0,VLOOKUP(CONCATENATE($C$2,$B47),'Base Calculation'!$A$5:$O$89,S$5+2,FALSE)/S47*100,"")</f>
      </c>
      <c r="T48" s="83">
        <f>IF(T47&gt;0,VLOOKUP(CONCATENATE($C$2,$B47),'Base Calculation'!$A$5:$O$89,U47+2,FALSE)/T47*100,"")</f>
      </c>
      <c r="U48" s="89">
        <f>IF(U47&gt;0,VLOOKUP(U47,BF$2:BG$14,2,FALSE),"")</f>
      </c>
      <c r="V48" s="90">
        <f>V47</f>
        <v>0</v>
      </c>
      <c r="W48" s="4"/>
      <c r="AP48" s="25">
        <f>17-COUNTIF(D48:T48,"")</f>
        <v>3</v>
      </c>
      <c r="AQ48" t="str">
        <f>CONCATENATE($C$2,BB48)</f>
        <v>Male20</v>
      </c>
      <c r="AS48" s="25">
        <f>SUM(D48:H48)</f>
        <v>122.46133083550045</v>
      </c>
      <c r="AT48" s="25">
        <f>SUM(I48:M48)</f>
        <v>0</v>
      </c>
      <c r="AU48" s="25">
        <f>SUM(N48:S48)</f>
        <v>62.26083903809023</v>
      </c>
      <c r="AV48" s="25">
        <f>IF($AS48&gt;0,LARGE(D48:H48,1),0)</f>
        <v>64.32700247729149</v>
      </c>
      <c r="AW48" s="25">
        <f>IF($AT48&gt;0,LARGE(I48:M48,1),0)</f>
        <v>0</v>
      </c>
      <c r="AX48" s="25">
        <f>IF($AU48&gt;0,LARGE(N48:S48,1),0)</f>
        <v>62.26083903809023</v>
      </c>
      <c r="AY48" s="25">
        <f>IF('League Summary'!$X$2=1,T48,"")</f>
      </c>
      <c r="AZ48" s="25">
        <f>SUM(AV48:AY48)</f>
        <v>126.58784151538171</v>
      </c>
      <c r="BA48" t="str">
        <f>IF(AND(AV48&gt;0,AW48&gt;0,AX48&gt;0,(AP48&gt;=4)),"Q","NQ")</f>
        <v>NQ</v>
      </c>
      <c r="BB48">
        <f>IF(AZ48&gt;0,RANK(AZ48,AZ$8:AZ$86,0),"")</f>
        <v>20</v>
      </c>
      <c r="BC48" t="str">
        <f>A47</f>
        <v>Daniel Davies</v>
      </c>
      <c r="BD48">
        <f t="shared" si="2"/>
        <v>30</v>
      </c>
      <c r="BN48">
        <v>48</v>
      </c>
      <c r="BO48" s="108">
        <f t="shared" si="4"/>
      </c>
    </row>
    <row r="49" spans="1:70" ht="12.75">
      <c r="A49" s="192" t="s">
        <v>225</v>
      </c>
      <c r="B49" s="193">
        <v>46</v>
      </c>
      <c r="C49" s="194" t="s">
        <v>36</v>
      </c>
      <c r="D49" s="195">
        <v>0.015787037037037037</v>
      </c>
      <c r="E49" s="195">
        <v>0</v>
      </c>
      <c r="F49" s="195">
        <v>0</v>
      </c>
      <c r="G49" s="195">
        <v>0</v>
      </c>
      <c r="H49" s="195">
        <v>0</v>
      </c>
      <c r="I49" s="195">
        <v>0</v>
      </c>
      <c r="J49" s="195">
        <v>0</v>
      </c>
      <c r="K49" s="195">
        <v>0</v>
      </c>
      <c r="L49" s="195">
        <v>0</v>
      </c>
      <c r="M49" s="195">
        <v>0.034409722222222223</v>
      </c>
      <c r="N49" s="195">
        <v>0</v>
      </c>
      <c r="O49" s="195">
        <v>0</v>
      </c>
      <c r="P49" s="195">
        <v>0</v>
      </c>
      <c r="Q49" s="195">
        <v>0</v>
      </c>
      <c r="R49" s="195">
        <v>0</v>
      </c>
      <c r="S49" s="196">
        <v>0</v>
      </c>
      <c r="T49" s="196">
        <v>0</v>
      </c>
      <c r="U49" s="197"/>
      <c r="V49" s="198"/>
      <c r="W49" s="4"/>
      <c r="BD49">
        <f t="shared" si="2"/>
        <v>0</v>
      </c>
      <c r="BJ49" t="str">
        <f>IF(BO49&gt;0,"In","")</f>
        <v>In</v>
      </c>
      <c r="BK49" s="41">
        <f>IF(BJ49="In",BO49,"")</f>
        <v>0.034409722222222223</v>
      </c>
      <c r="BL49">
        <f>IF(BJ49="In",RANK(BK49,BK$7:BK$86,1),"")</f>
        <v>17</v>
      </c>
      <c r="BM49" t="str">
        <f>CONCATENATE(BJ49,BL49)</f>
        <v>In17</v>
      </c>
      <c r="BN49">
        <v>49</v>
      </c>
      <c r="BO49" s="41">
        <f t="shared" si="4"/>
        <v>0.034409722222222223</v>
      </c>
      <c r="BP49">
        <f t="shared" si="3"/>
        <v>60.78537374766544</v>
      </c>
      <c r="BQ49" t="str">
        <f>IF($BJ49="In",A49,"")</f>
        <v>Will Troughton</v>
      </c>
      <c r="BR49">
        <f>IF($BJ49="In",B49,"")</f>
        <v>46</v>
      </c>
    </row>
    <row r="50" spans="1:67" ht="13.5" thickBot="1">
      <c r="A50" s="48" t="str">
        <f>CONCATENATE(A49,C50)</f>
        <v>Will TroughtonPoints</v>
      </c>
      <c r="B50" s="46"/>
      <c r="C50" s="47" t="s">
        <v>37</v>
      </c>
      <c r="D50" s="42">
        <f>IF(D49&gt;0,VLOOKUP(CONCATENATE($C$2,$B49),'Base Calculation'!$A$5:$O$89,D$5+2,FALSE)/D49*100,"")</f>
        <v>63.0090875442924</v>
      </c>
      <c r="E50" s="42">
        <f>IF(E49&gt;0,VLOOKUP(CONCATENATE($C$2,$B49),'Base Calculation'!$A$5:$O$89,E$5+2,FALSE)/E49*100,"")</f>
      </c>
      <c r="F50" s="42">
        <f>IF(F49&gt;0,VLOOKUP(CONCATENATE($C$2,$B49),'Base Calculation'!$A$5:$O$89,F$5+2,FALSE)/F49*100,"")</f>
      </c>
      <c r="G50" s="42">
        <f>IF(G49&gt;0,VLOOKUP(CONCATENATE($C$2,$B49),'Base Calculation'!$A$5:$O$89,G$5+2,FALSE)/G49*100,"")</f>
      </c>
      <c r="H50" s="42">
        <f>IF(H49&gt;0,VLOOKUP(CONCATENATE($C$2,$B49),'Base Calculation'!$A$5:$O$89,H$5+2,FALSE)/H49*100,"")</f>
      </c>
      <c r="I50" s="42">
        <f>IF(I49&gt;0,VLOOKUP(CONCATENATE($C$2,$B49),'Base Calculation'!$A$5:$O$89,I$5+2,FALSE)/I49*100,"")</f>
      </c>
      <c r="J50" s="42">
        <f>IF(J49&gt;0,VLOOKUP(CONCATENATE($C$2,$B49),'Base Calculation'!$A$5:$O$89,J$5+2,FALSE)/J49*100,"")</f>
      </c>
      <c r="K50" s="42">
        <f>IF(K49&gt;0,VLOOKUP(CONCATENATE($C$2,$B49),'Base Calculation'!$A$5:$O$89,K$5+2,FALSE)/K49*100,"")</f>
      </c>
      <c r="L50" s="42">
        <f>IF(L49&gt;0,VLOOKUP(CONCATENATE($C$2,$B49),'Base Calculation'!$A$5:$O$89,L$5+2,FALSE)/L49*100,"")</f>
      </c>
      <c r="M50" s="42">
        <f>IF(M49&gt;0,VLOOKUP(CONCATENATE($C$2,$B49),'Base Calculation'!$A$5:$O$89,M$5+2,FALSE)/M49*100,"")</f>
        <v>60.78537374766544</v>
      </c>
      <c r="N50" s="42">
        <f>IF(N49&gt;0,VLOOKUP(CONCATENATE($C$2,$B49),'Base Calculation'!$A$5:$O$89,N$5+2,FALSE)/N49*100,"")</f>
      </c>
      <c r="O50" s="42">
        <f>IF(O49&gt;0,VLOOKUP(CONCATENATE($C$2,$B49),'Base Calculation'!$A$5:$O$89,O$5+2,FALSE)/O49*100,"")</f>
      </c>
      <c r="P50" s="42">
        <f>IF(P49&gt;0,VLOOKUP(CONCATENATE($C$2,$B49),'Base Calculation'!$A$5:$O$89,P$5+2,FALSE)/P49*100,"")</f>
      </c>
      <c r="Q50" s="42">
        <f>IF(Q49&gt;0,VLOOKUP(CONCATENATE($C$2,$B49),'Base Calculation'!$A$5:$O$89,Q$5+2,FALSE)/Q49*100,"")</f>
      </c>
      <c r="R50" s="42">
        <f>IF(R49&gt;0,VLOOKUP(CONCATENATE($C$2,$B49),'Base Calculation'!$A$5:$O$89,R$5+2,FALSE)/R49*100,"")</f>
      </c>
      <c r="S50" s="42">
        <f>IF(S49&gt;0,VLOOKUP(CONCATENATE($C$2,$B49),'Base Calculation'!$A$5:$O$89,S$5+2,FALSE)/S49*100,"")</f>
      </c>
      <c r="T50" s="91">
        <f>IF(T49&gt;0,VLOOKUP(CONCATENATE($C$2,$B49),'Base Calculation'!$A$5:$O$89,U49+2,FALSE)/T49*100,"")</f>
      </c>
      <c r="U50" s="92">
        <f>IF(U49&gt;0,VLOOKUP(U49,BF$2:BG$14,2,FALSE),"")</f>
      </c>
      <c r="V50" s="93">
        <f>V49</f>
        <v>0</v>
      </c>
      <c r="W50" s="4"/>
      <c r="AP50" s="25">
        <f>17-COUNTIF(D50:T50,"")</f>
        <v>2</v>
      </c>
      <c r="AQ50" t="str">
        <f>CONCATENATE($C$2,BB50)</f>
        <v>Male22</v>
      </c>
      <c r="AS50" s="25">
        <f>SUM(D50:H50)</f>
        <v>63.0090875442924</v>
      </c>
      <c r="AT50" s="25">
        <f>SUM(I50:M50)</f>
        <v>60.78537374766544</v>
      </c>
      <c r="AU50" s="25">
        <f>SUM(N50:S50)</f>
        <v>0</v>
      </c>
      <c r="AV50" s="25">
        <f>IF($AS50&gt;0,LARGE(D50:H50,1),0)</f>
        <v>63.0090875442924</v>
      </c>
      <c r="AW50" s="25">
        <f>IF($AT50&gt;0,LARGE(I50:M50,1),0)</f>
        <v>60.78537374766544</v>
      </c>
      <c r="AX50" s="25">
        <f>IF($AU50&gt;0,LARGE(N50:S50,1),0)</f>
        <v>0</v>
      </c>
      <c r="AY50" s="25">
        <f>IF('League Summary'!$X$2=1,T50,"")</f>
      </c>
      <c r="AZ50" s="25">
        <f>SUM(AV50:AY50)</f>
        <v>123.79446129195784</v>
      </c>
      <c r="BA50" t="str">
        <f>IF(AND(AV50&gt;0,AW50&gt;0,AX50&gt;0,(AP50&gt;=4)),"Q","NQ")</f>
        <v>NQ</v>
      </c>
      <c r="BB50">
        <f>IF(AZ50&gt;0,RANK(AZ50,AZ$8:AZ$86,0),"")</f>
        <v>22</v>
      </c>
      <c r="BC50" t="str">
        <f>A49</f>
        <v>Will Troughton</v>
      </c>
      <c r="BD50">
        <f t="shared" si="2"/>
        <v>46</v>
      </c>
      <c r="BN50">
        <v>50</v>
      </c>
      <c r="BO50" s="108">
        <f t="shared" si="4"/>
        <v>60.78537374766544</v>
      </c>
    </row>
    <row r="51" spans="1:70" ht="12.75">
      <c r="A51" s="192" t="s">
        <v>226</v>
      </c>
      <c r="B51" s="193">
        <v>47</v>
      </c>
      <c r="C51" s="194" t="s">
        <v>36</v>
      </c>
      <c r="D51" s="195">
        <v>0.016296296296296295</v>
      </c>
      <c r="E51" s="195">
        <v>0</v>
      </c>
      <c r="F51" s="195">
        <v>0</v>
      </c>
      <c r="G51" s="195">
        <v>0</v>
      </c>
      <c r="H51" s="195">
        <v>0</v>
      </c>
      <c r="I51" s="195">
        <v>0</v>
      </c>
      <c r="J51" s="195">
        <v>0</v>
      </c>
      <c r="K51" s="195">
        <v>0</v>
      </c>
      <c r="L51" s="195">
        <v>0</v>
      </c>
      <c r="M51" s="195">
        <v>0.03238425925925926</v>
      </c>
      <c r="N51" s="195">
        <v>0</v>
      </c>
      <c r="O51" s="195">
        <v>0</v>
      </c>
      <c r="P51" s="195">
        <v>0</v>
      </c>
      <c r="Q51" s="195">
        <v>0</v>
      </c>
      <c r="R51" s="195">
        <v>0</v>
      </c>
      <c r="S51" s="196">
        <v>0</v>
      </c>
      <c r="T51" s="196">
        <v>0</v>
      </c>
      <c r="U51" s="197"/>
      <c r="V51" s="198"/>
      <c r="W51" s="4"/>
      <c r="BD51">
        <f t="shared" si="2"/>
        <v>0</v>
      </c>
      <c r="BJ51" t="str">
        <f>IF(BO51&gt;0,"In","")</f>
        <v>In</v>
      </c>
      <c r="BK51" s="41">
        <f>IF(BJ51="In",BO51,"")</f>
        <v>0.03238425925925926</v>
      </c>
      <c r="BL51">
        <f>IF(BJ51="In",RANK(BK51,BK$7:BK$86,1),"")</f>
        <v>15</v>
      </c>
      <c r="BM51" t="str">
        <f>CONCATENATE(BJ51,BL51)</f>
        <v>In15</v>
      </c>
      <c r="BN51">
        <v>51</v>
      </c>
      <c r="BO51" s="41">
        <f t="shared" si="4"/>
        <v>0.03238425925925926</v>
      </c>
      <c r="BP51">
        <f t="shared" si="3"/>
        <v>65.03201020057651</v>
      </c>
      <c r="BQ51" t="str">
        <f>IF($BJ51="In",A51,"")</f>
        <v>Andy Eden</v>
      </c>
      <c r="BR51">
        <f>IF($BJ51="In",B51,"")</f>
        <v>47</v>
      </c>
    </row>
    <row r="52" spans="1:67" ht="13.5" thickBot="1">
      <c r="A52" s="48" t="str">
        <f>CONCATENATE(A51,C52)</f>
        <v>Andy EdenPoints</v>
      </c>
      <c r="B52" s="46"/>
      <c r="C52" s="47" t="s">
        <v>37</v>
      </c>
      <c r="D52" s="42">
        <f>IF(D51&gt;0,VLOOKUP(CONCATENATE($C$2,$B51),'Base Calculation'!$A$5:$O$89,D$5+2,FALSE)/D51*100,"")</f>
        <v>61.460458281997944</v>
      </c>
      <c r="E52" s="42">
        <f>IF(E51&gt;0,VLOOKUP(CONCATENATE($C$2,$B51),'Base Calculation'!$A$5:$O$89,E$5+2,FALSE)/E51*100,"")</f>
      </c>
      <c r="F52" s="42">
        <f>IF(F51&gt;0,VLOOKUP(CONCATENATE($C$2,$B51),'Base Calculation'!$A$5:$O$89,F$5+2,FALSE)/F51*100,"")</f>
      </c>
      <c r="G52" s="42">
        <f>IF(G51&gt;0,VLOOKUP(CONCATENATE($C$2,$B51),'Base Calculation'!$A$5:$O$89,G$5+2,FALSE)/G51*100,"")</f>
      </c>
      <c r="H52" s="42">
        <f>IF(H51&gt;0,VLOOKUP(CONCATENATE($C$2,$B51),'Base Calculation'!$A$5:$O$89,H$5+2,FALSE)/H51*100,"")</f>
      </c>
      <c r="I52" s="42">
        <f>IF(I51&gt;0,VLOOKUP(CONCATENATE($C$2,$B51),'Base Calculation'!$A$5:$O$89,I$5+2,FALSE)/I51*100,"")</f>
      </c>
      <c r="J52" s="42">
        <f>IF(J51&gt;0,VLOOKUP(CONCATENATE($C$2,$B51),'Base Calculation'!$A$5:$O$89,J$5+2,FALSE)/J51*100,"")</f>
      </c>
      <c r="K52" s="42">
        <f>IF(K51&gt;0,VLOOKUP(CONCATENATE($C$2,$B51),'Base Calculation'!$A$5:$O$89,K$5+2,FALSE)/K51*100,"")</f>
      </c>
      <c r="L52" s="42">
        <f>IF(L51&gt;0,VLOOKUP(CONCATENATE($C$2,$B51),'Base Calculation'!$A$5:$O$89,L$5+2,FALSE)/L51*100,"")</f>
      </c>
      <c r="M52" s="42">
        <f>IF(M51&gt;0,VLOOKUP(CONCATENATE($C$2,$B51),'Base Calculation'!$A$5:$O$89,M$5+2,FALSE)/M51*100,"")</f>
        <v>65.03201020057651</v>
      </c>
      <c r="N52" s="42">
        <f>IF(N51&gt;0,VLOOKUP(CONCATENATE($C$2,$B51),'Base Calculation'!$A$5:$O$89,N$5+2,FALSE)/N51*100,"")</f>
      </c>
      <c r="O52" s="42">
        <f>IF(O51&gt;0,VLOOKUP(CONCATENATE($C$2,$B51),'Base Calculation'!$A$5:$O$89,O$5+2,FALSE)/O51*100,"")</f>
      </c>
      <c r="P52" s="42">
        <f>IF(P51&gt;0,VLOOKUP(CONCATENATE($C$2,$B51),'Base Calculation'!$A$5:$O$89,P$5+2,FALSE)/P51*100,"")</f>
      </c>
      <c r="Q52" s="42">
        <f>IF(Q51&gt;0,VLOOKUP(CONCATENATE($C$2,$B51),'Base Calculation'!$A$5:$O$89,Q$5+2,FALSE)/Q51*100,"")</f>
      </c>
      <c r="R52" s="42">
        <f>IF(R51&gt;0,VLOOKUP(CONCATENATE($C$2,$B51),'Base Calculation'!$A$5:$O$89,R$5+2,FALSE)/R51*100,"")</f>
      </c>
      <c r="S52" s="42">
        <f>IF(S51&gt;0,VLOOKUP(CONCATENATE($C$2,$B51),'Base Calculation'!$A$5:$O$89,S$5+2,FALSE)/S51*100,"")</f>
      </c>
      <c r="T52" s="83">
        <f>IF(T51&gt;0,VLOOKUP(CONCATENATE($C$2,$B51),'Base Calculation'!$A$5:$O$89,U51+2,FALSE)/T51*100,"")</f>
      </c>
      <c r="U52" s="89">
        <f>IF(U51&gt;0,VLOOKUP(U51,BF$2:BG$14,2,FALSE),"")</f>
      </c>
      <c r="V52" s="90">
        <f>V51</f>
        <v>0</v>
      </c>
      <c r="W52" s="4"/>
      <c r="AP52" s="25">
        <f>17-COUNTIF(D52:T52,"")</f>
        <v>2</v>
      </c>
      <c r="AQ52" t="str">
        <f>CONCATENATE($C$2,BB52)</f>
        <v>Male21</v>
      </c>
      <c r="AS52" s="25">
        <f>SUM(D52:H52)</f>
        <v>61.460458281997944</v>
      </c>
      <c r="AT52" s="25">
        <f>SUM(I52:M52)</f>
        <v>65.03201020057651</v>
      </c>
      <c r="AU52" s="25">
        <f>SUM(N52:S52)</f>
        <v>0</v>
      </c>
      <c r="AV52" s="25">
        <f>IF($AS52&gt;0,LARGE(D52:H52,1),0)</f>
        <v>61.460458281997944</v>
      </c>
      <c r="AW52" s="25">
        <f>IF($AT52&gt;0,LARGE(I52:M52,1),0)</f>
        <v>65.03201020057651</v>
      </c>
      <c r="AX52" s="25">
        <f>IF($AU52&gt;0,LARGE(N52:S52,1),0)</f>
        <v>0</v>
      </c>
      <c r="AY52" s="25">
        <f>IF('League Summary'!$X$2=1,T52,"")</f>
      </c>
      <c r="AZ52" s="25">
        <f>SUM(AV52:AY52)</f>
        <v>126.49246848257445</v>
      </c>
      <c r="BA52" t="str">
        <f>IF(AND(AV52&gt;0,AW52&gt;0,AX52&gt;0,(AP52&gt;=4)),"Q","NQ")</f>
        <v>NQ</v>
      </c>
      <c r="BB52">
        <f>IF(AZ52&gt;0,RANK(AZ52,AZ$8:AZ$86,0),"")</f>
        <v>21</v>
      </c>
      <c r="BC52" t="str">
        <f>A51</f>
        <v>Andy Eden</v>
      </c>
      <c r="BD52">
        <f t="shared" si="2"/>
        <v>47</v>
      </c>
      <c r="BN52">
        <v>52</v>
      </c>
      <c r="BO52" s="108">
        <f t="shared" si="4"/>
        <v>65.03201020057651</v>
      </c>
    </row>
    <row r="53" spans="1:70" ht="12.75">
      <c r="A53" s="192" t="s">
        <v>227</v>
      </c>
      <c r="B53" s="193">
        <v>62</v>
      </c>
      <c r="C53" s="194" t="s">
        <v>36</v>
      </c>
      <c r="D53" s="195">
        <v>0</v>
      </c>
      <c r="E53" s="195">
        <v>0</v>
      </c>
      <c r="F53" s="195">
        <v>0</v>
      </c>
      <c r="G53" s="195">
        <v>0</v>
      </c>
      <c r="H53" s="195">
        <v>0.01545138888888889</v>
      </c>
      <c r="I53" s="195">
        <v>0</v>
      </c>
      <c r="J53" s="195">
        <v>0.03310185185185185</v>
      </c>
      <c r="K53" s="195">
        <v>0</v>
      </c>
      <c r="L53" s="195">
        <v>0.024363425925925927</v>
      </c>
      <c r="M53" s="195">
        <v>0.03193287037037037</v>
      </c>
      <c r="N53" s="195">
        <v>0</v>
      </c>
      <c r="O53" s="195">
        <v>0</v>
      </c>
      <c r="P53" s="195">
        <v>0.0562037037037037</v>
      </c>
      <c r="Q53" s="195">
        <v>0.07219907407407407</v>
      </c>
      <c r="R53" s="195">
        <v>0</v>
      </c>
      <c r="S53" s="196">
        <v>0</v>
      </c>
      <c r="T53" s="196">
        <v>0.03193287037037037</v>
      </c>
      <c r="U53" s="197">
        <v>5</v>
      </c>
      <c r="V53" s="198" t="s">
        <v>18</v>
      </c>
      <c r="W53" s="4"/>
      <c r="BD53">
        <f t="shared" si="2"/>
        <v>0</v>
      </c>
      <c r="BJ53" t="str">
        <f>IF(BO53&gt;0,"In","")</f>
        <v>In</v>
      </c>
      <c r="BK53" s="41">
        <f>IF(BJ53="In",BO53,"")</f>
        <v>0.03193287037037037</v>
      </c>
      <c r="BL53">
        <f>IF(BJ53="In",RANK(BK53,BK$7:BK$86,1),"")</f>
        <v>14</v>
      </c>
      <c r="BM53" t="str">
        <f>CONCATENATE(BJ53,BL53)</f>
        <v>In14</v>
      </c>
      <c r="BN53">
        <v>53</v>
      </c>
      <c r="BO53" s="41">
        <f t="shared" si="4"/>
        <v>0.03193287037037037</v>
      </c>
      <c r="BP53">
        <f t="shared" si="3"/>
        <v>75.39920842799279</v>
      </c>
      <c r="BQ53" t="str">
        <f>IF($BJ53="In",A53,"")</f>
        <v>Cliff Thomas</v>
      </c>
      <c r="BR53">
        <f>IF($BJ53="In",B53,"")</f>
        <v>62</v>
      </c>
    </row>
    <row r="54" spans="1:67" ht="13.5" thickBot="1">
      <c r="A54" s="48" t="str">
        <f>CONCATENATE(A53,C54)</f>
        <v>Cliff ThomasPoints</v>
      </c>
      <c r="B54" s="46"/>
      <c r="C54" s="47" t="s">
        <v>37</v>
      </c>
      <c r="D54" s="42">
        <f>IF(D53&gt;0,VLOOKUP(CONCATENATE($C$2,$B53),'Base Calculation'!$A$5:$O$89,D$5+2,FALSE)/D53*100,"")</f>
      </c>
      <c r="E54" s="42">
        <f>IF(E53&gt;0,VLOOKUP(CONCATENATE($C$2,$B53),'Base Calculation'!$A$5:$O$89,E$5+2,FALSE)/E53*100,"")</f>
      </c>
      <c r="F54" s="42">
        <f>IF(F53&gt;0,VLOOKUP(CONCATENATE($C$2,$B53),'Base Calculation'!$A$5:$O$89,F$5+2,FALSE)/F53*100,"")</f>
      </c>
      <c r="G54" s="42">
        <f>IF(G53&gt;0,VLOOKUP(CONCATENATE($C$2,$B53),'Base Calculation'!$A$5:$O$89,G$5+2,FALSE)/G53*100,"")</f>
      </c>
      <c r="H54" s="42">
        <f>IF(H53&gt;0,VLOOKUP(CONCATENATE($C$2,$B53),'Base Calculation'!$A$5:$O$89,H$5+2,FALSE)/H53*100,"")</f>
        <v>74.10726431939754</v>
      </c>
      <c r="I54" s="42">
        <f>IF(I53&gt;0,VLOOKUP(CONCATENATE($C$2,$B53),'Base Calculation'!$A$5:$O$89,I$5+2,FALSE)/I53*100,"")</f>
      </c>
      <c r="J54" s="42">
        <f>IF(J53&gt;0,VLOOKUP(CONCATENATE($C$2,$B53),'Base Calculation'!$A$5:$O$89,J$5+2,FALSE)/J53*100,"")</f>
        <v>72.73650910938187</v>
      </c>
      <c r="K54" s="42">
        <f>IF(K53&gt;0,VLOOKUP(CONCATENATE($C$2,$B53),'Base Calculation'!$A$5:$O$89,K$5+2,FALSE)/K53*100,"")</f>
      </c>
      <c r="L54" s="42">
        <f>IF(L53&gt;0,VLOOKUP(CONCATENATE($C$2,$B53),'Base Calculation'!$A$5:$O$89,L$5+2,FALSE)/L53*100,"")</f>
        <v>80.12177544545112</v>
      </c>
      <c r="M54" s="42">
        <f>IF(M53&gt;0,VLOOKUP(CONCATENATE($C$2,$B53),'Base Calculation'!$A$5:$O$89,M$5+2,FALSE)/M53*100,"")</f>
        <v>75.39920842799279</v>
      </c>
      <c r="N54" s="42">
        <f>IF(N53&gt;0,VLOOKUP(CONCATENATE($C$2,$B53),'Base Calculation'!$A$5:$O$89,N$5+2,FALSE)/N53*100,"")</f>
      </c>
      <c r="O54" s="42">
        <f>IF(O53&gt;0,VLOOKUP(CONCATENATE($C$2,$B53),'Base Calculation'!$A$5:$O$89,O$5+2,FALSE)/O53*100,"")</f>
      </c>
      <c r="P54" s="42">
        <f>IF(P53&gt;0,VLOOKUP(CONCATENATE($C$2,$B53),'Base Calculation'!$A$5:$O$89,P$5+2,FALSE)/P53*100,"")</f>
        <v>69.67229749945497</v>
      </c>
      <c r="Q54" s="42">
        <f>IF(Q53&gt;0,VLOOKUP(CONCATENATE($C$2,$B53),'Base Calculation'!$A$5:$O$89,Q$5+2,FALSE)/Q53*100,"")</f>
        <v>72.2138347130173</v>
      </c>
      <c r="R54" s="42">
        <f>IF(R53&gt;0,VLOOKUP(CONCATENATE($C$2,$B53),'Base Calculation'!$A$5:$O$89,R$5+2,FALSE)/R53*100,"")</f>
      </c>
      <c r="S54" s="42">
        <f>IF(S53&gt;0,VLOOKUP(CONCATENATE($C$2,$B53),'Base Calculation'!$A$5:$O$89,S$5+2,FALSE)/S53*100,"")</f>
      </c>
      <c r="T54" s="91">
        <f>IF(T53&gt;0,VLOOKUP(CONCATENATE($C$2,$B53),'Base Calculation'!$A$5:$O$89,U53+2,FALSE)/T53*100,"")</f>
        <v>75.39920842799279</v>
      </c>
      <c r="U54" s="92" t="str">
        <f>IF(U53&gt;0,VLOOKUP(U53,BF$2:BG$14,2,FALSE),"")</f>
        <v>10k</v>
      </c>
      <c r="V54" s="93" t="str">
        <f>V53</f>
        <v>Aberystwyth 10k</v>
      </c>
      <c r="W54" s="4"/>
      <c r="AP54" s="25">
        <f>17-COUNTIF(D54:T54,"")</f>
        <v>7</v>
      </c>
      <c r="AQ54" t="str">
        <f>CONCATENATE($C$2,BB54)</f>
        <v>Male5</v>
      </c>
      <c r="AS54" s="25">
        <f>SUM(D54:H54)</f>
        <v>74.10726431939754</v>
      </c>
      <c r="AT54" s="25">
        <f>SUM(I54:M54)</f>
        <v>228.2574929828258</v>
      </c>
      <c r="AU54" s="25">
        <f>SUM(N54:S54)</f>
        <v>141.88613221247226</v>
      </c>
      <c r="AV54" s="25">
        <f>IF($AS54&gt;0,LARGE(D54:H54,1),0)</f>
        <v>74.10726431939754</v>
      </c>
      <c r="AW54" s="25">
        <f>IF($AT54&gt;0,LARGE(I54:M54,1),0)</f>
        <v>80.12177544545112</v>
      </c>
      <c r="AX54" s="25">
        <f>IF($AU54&gt;0,LARGE(N54:S54,1),0)</f>
        <v>72.2138347130173</v>
      </c>
      <c r="AY54" s="25">
        <f>IF('League Summary'!$X$2=1,T54,"")</f>
        <v>75.39920842799279</v>
      </c>
      <c r="AZ54" s="25">
        <f>SUM(AV54:AY54)</f>
        <v>301.8420829058588</v>
      </c>
      <c r="BA54" t="str">
        <f>IF(AND(AV54&gt;0,AW54&gt;0,AX54&gt;0,(AP54&gt;=4)),"Q","NQ")</f>
        <v>Q</v>
      </c>
      <c r="BB54">
        <f>IF(AZ54&gt;0,RANK(AZ54,AZ$8:AZ$86,0),"")</f>
        <v>5</v>
      </c>
      <c r="BC54" t="str">
        <f>A53</f>
        <v>Cliff Thomas</v>
      </c>
      <c r="BD54">
        <f t="shared" si="2"/>
        <v>62</v>
      </c>
      <c r="BN54">
        <v>54</v>
      </c>
      <c r="BO54" s="108">
        <f t="shared" si="4"/>
        <v>75.39920842799279</v>
      </c>
    </row>
    <row r="55" spans="1:70" ht="12.75">
      <c r="A55" s="192" t="s">
        <v>232</v>
      </c>
      <c r="B55" s="193">
        <v>43</v>
      </c>
      <c r="C55" s="194" t="s">
        <v>36</v>
      </c>
      <c r="D55" s="195">
        <v>0</v>
      </c>
      <c r="E55" s="195">
        <v>0</v>
      </c>
      <c r="F55" s="195">
        <v>0.013379629629629628</v>
      </c>
      <c r="G55" s="195">
        <v>0.013483796296296298</v>
      </c>
      <c r="H55" s="195">
        <v>0</v>
      </c>
      <c r="I55" s="195">
        <v>0</v>
      </c>
      <c r="J55" s="195">
        <v>0</v>
      </c>
      <c r="K55" s="195">
        <v>0</v>
      </c>
      <c r="L55" s="195">
        <v>0</v>
      </c>
      <c r="M55" s="195">
        <v>0.030335648148148143</v>
      </c>
      <c r="N55" s="195">
        <v>0</v>
      </c>
      <c r="O55" s="195">
        <v>0</v>
      </c>
      <c r="P55" s="195">
        <v>0</v>
      </c>
      <c r="Q55" s="195">
        <v>0</v>
      </c>
      <c r="R55" s="195">
        <v>0</v>
      </c>
      <c r="S55" s="196">
        <v>0</v>
      </c>
      <c r="T55" s="196">
        <v>0</v>
      </c>
      <c r="U55" s="197"/>
      <c r="V55" s="198"/>
      <c r="W55" s="4"/>
      <c r="BD55">
        <f t="shared" si="2"/>
        <v>0</v>
      </c>
      <c r="BJ55" t="str">
        <f>IF(BO55&gt;0,"In","")</f>
        <v>In</v>
      </c>
      <c r="BK55" s="41">
        <f>IF(BJ55="In",BO55,"")</f>
        <v>0.030335648148148143</v>
      </c>
      <c r="BL55">
        <f>IF(BJ55="In",RANK(BK55,BK$7:BK$86,1),"")</f>
        <v>10</v>
      </c>
      <c r="BM55" t="str">
        <f>CONCATENATE(BJ55,BL55)</f>
        <v>In10</v>
      </c>
      <c r="BN55">
        <v>55</v>
      </c>
      <c r="BO55" s="41">
        <f t="shared" si="4"/>
        <v>0.030335648148148143</v>
      </c>
      <c r="BP55">
        <f t="shared" si="3"/>
        <v>67.56971654008895</v>
      </c>
      <c r="BQ55" t="str">
        <f>IF($BJ55="In",A55,"")</f>
        <v>Paul Rose</v>
      </c>
      <c r="BR55">
        <f>IF($BJ55="In",B55,"")</f>
        <v>43</v>
      </c>
    </row>
    <row r="56" spans="1:67" ht="13.5" thickBot="1">
      <c r="A56" s="48" t="str">
        <f>CONCATENATE(A55,C56)</f>
        <v>Paul RosePoints</v>
      </c>
      <c r="B56" s="46"/>
      <c r="C56" s="47" t="s">
        <v>37</v>
      </c>
      <c r="D56" s="42">
        <f>IF(D55&gt;0,VLOOKUP(CONCATENATE($C$2,$B55),'Base Calculation'!$A$5:$O$89,D$5+2,FALSE)/D55*100,"")</f>
      </c>
      <c r="E56" s="42">
        <f>IF(E55&gt;0,VLOOKUP(CONCATENATE($C$2,$B55),'Base Calculation'!$A$5:$O$89,E$5+2,FALSE)/E55*100,"")</f>
      </c>
      <c r="F56" s="42">
        <f>IF(F55&gt;0,VLOOKUP(CONCATENATE($C$2,$B55),'Base Calculation'!$A$5:$O$89,F$5+2,FALSE)/F55*100,"")</f>
        <v>72.85927478926928</v>
      </c>
      <c r="G56" s="42">
        <f>IF(G55&gt;0,VLOOKUP(CONCATENATE($C$2,$B55),'Base Calculation'!$A$5:$O$89,G$5+2,FALSE)/G55*100,"")</f>
        <v>72.2964134389659</v>
      </c>
      <c r="H56" s="42">
        <f>IF(H55&gt;0,VLOOKUP(CONCATENATE($C$2,$B55),'Base Calculation'!$A$5:$O$89,H$5+2,FALSE)/H55*100,"")</f>
      </c>
      <c r="I56" s="42">
        <f>IF(I55&gt;0,VLOOKUP(CONCATENATE($C$2,$B55),'Base Calculation'!$A$5:$O$89,I$5+2,FALSE)/I55*100,"")</f>
      </c>
      <c r="J56" s="42">
        <f>IF(J55&gt;0,VLOOKUP(CONCATENATE($C$2,$B55),'Base Calculation'!$A$5:$O$89,J$5+2,FALSE)/J55*100,"")</f>
      </c>
      <c r="K56" s="42">
        <f>IF(K55&gt;0,VLOOKUP(CONCATENATE($C$2,$B55),'Base Calculation'!$A$5:$O$89,K$5+2,FALSE)/K55*100,"")</f>
      </c>
      <c r="L56" s="42">
        <f>IF(L55&gt;0,VLOOKUP(CONCATENATE($C$2,$B55),'Base Calculation'!$A$5:$O$89,L$5+2,FALSE)/L55*100,"")</f>
      </c>
      <c r="M56" s="42">
        <f>IF(M55&gt;0,VLOOKUP(CONCATENATE($C$2,$B55),'Base Calculation'!$A$5:$O$89,M$5+2,FALSE)/M55*100,"")</f>
        <v>67.56971654008895</v>
      </c>
      <c r="N56" s="42">
        <f>IF(N55&gt;0,VLOOKUP(CONCATENATE($C$2,$B55),'Base Calculation'!$A$5:$O$89,N$5+2,FALSE)/N55*100,"")</f>
      </c>
      <c r="O56" s="42">
        <f>IF(O55&gt;0,VLOOKUP(CONCATENATE($C$2,$B55),'Base Calculation'!$A$5:$O$89,O$5+2,FALSE)/O55*100,"")</f>
      </c>
      <c r="P56" s="42">
        <f>IF(P55&gt;0,VLOOKUP(CONCATENATE($C$2,$B55),'Base Calculation'!$A$5:$O$89,P$5+2,FALSE)/P55*100,"")</f>
      </c>
      <c r="Q56" s="42">
        <f>IF(Q55&gt;0,VLOOKUP(CONCATENATE($C$2,$B55),'Base Calculation'!$A$5:$O$89,Q$5+2,FALSE)/Q55*100,"")</f>
      </c>
      <c r="R56" s="42">
        <f>IF(R55&gt;0,VLOOKUP(CONCATENATE($C$2,$B55),'Base Calculation'!$A$5:$O$89,R$5+2,FALSE)/R55*100,"")</f>
      </c>
      <c r="S56" s="42">
        <f>IF(S55&gt;0,VLOOKUP(CONCATENATE($C$2,$B55),'Base Calculation'!$A$5:$O$89,S$5+2,FALSE)/S55*100,"")</f>
      </c>
      <c r="T56" s="83">
        <f>IF(T55&gt;0,VLOOKUP(CONCATENATE($C$2,$B55),'Base Calculation'!$A$5:$O$89,U55+2,FALSE)/T55*100,"")</f>
      </c>
      <c r="U56" s="89">
        <f>IF(U55&gt;0,VLOOKUP(U55,BF$2:BG$14,2,FALSE),"")</f>
      </c>
      <c r="V56" s="90">
        <f>V55</f>
        <v>0</v>
      </c>
      <c r="W56" s="4"/>
      <c r="AP56" s="25">
        <f>17-COUNTIF(D56:T56,"")</f>
        <v>3</v>
      </c>
      <c r="AQ56" t="str">
        <f>CONCATENATE($C$2,BB56)</f>
        <v>Male16</v>
      </c>
      <c r="AS56" s="25">
        <f>SUM(D56:H56)</f>
        <v>145.1556882282352</v>
      </c>
      <c r="AT56" s="25">
        <f>SUM(I56:M56)</f>
        <v>67.56971654008895</v>
      </c>
      <c r="AU56" s="25">
        <f>SUM(N56:S56)</f>
        <v>0</v>
      </c>
      <c r="AV56" s="25">
        <f>IF($AS56&gt;0,LARGE(D56:H56,1),0)</f>
        <v>72.85927478926928</v>
      </c>
      <c r="AW56" s="25">
        <f>IF($AT56&gt;0,LARGE(I56:M56,1),0)</f>
        <v>67.56971654008895</v>
      </c>
      <c r="AX56" s="25">
        <f>IF($AU56&gt;0,LARGE(N56:S56,1),0)</f>
        <v>0</v>
      </c>
      <c r="AY56" s="25">
        <f>IF('League Summary'!$X$2=1,T56,"")</f>
      </c>
      <c r="AZ56" s="25">
        <f>SUM(AV56:AY56)</f>
        <v>140.4289913293582</v>
      </c>
      <c r="BA56" t="str">
        <f>IF(AND(AV56&gt;0,AW56&gt;0,AX56&gt;0,(AP56&gt;=4)),"Q","NQ")</f>
        <v>NQ</v>
      </c>
      <c r="BB56">
        <f>IF(AZ56&gt;0,RANK(AZ56,AZ$8:AZ$86,0),"")</f>
        <v>16</v>
      </c>
      <c r="BC56" t="str">
        <f>A55</f>
        <v>Paul Rose</v>
      </c>
      <c r="BD56">
        <f t="shared" si="2"/>
        <v>43</v>
      </c>
      <c r="BN56">
        <v>56</v>
      </c>
      <c r="BO56" s="108">
        <f t="shared" si="4"/>
        <v>67.56971654008895</v>
      </c>
    </row>
    <row r="57" spans="1:70" ht="12.75">
      <c r="A57" s="192" t="s">
        <v>235</v>
      </c>
      <c r="B57" s="193">
        <v>30</v>
      </c>
      <c r="C57" s="194" t="s">
        <v>36</v>
      </c>
      <c r="D57" s="195">
        <v>0</v>
      </c>
      <c r="E57" s="195">
        <v>0</v>
      </c>
      <c r="F57" s="195">
        <v>0</v>
      </c>
      <c r="G57" s="195">
        <v>0.011238425925925928</v>
      </c>
      <c r="H57" s="195">
        <v>0.011331018518518518</v>
      </c>
      <c r="I57" s="195">
        <v>0</v>
      </c>
      <c r="J57" s="195">
        <v>0</v>
      </c>
      <c r="K57" s="195">
        <v>0</v>
      </c>
      <c r="L57" s="195">
        <v>0</v>
      </c>
      <c r="M57" s="195">
        <v>0</v>
      </c>
      <c r="N57" s="195">
        <v>0</v>
      </c>
      <c r="O57" s="195">
        <v>0</v>
      </c>
      <c r="P57" s="195">
        <v>0</v>
      </c>
      <c r="Q57" s="195">
        <v>0</v>
      </c>
      <c r="R57" s="195">
        <v>0</v>
      </c>
      <c r="S57" s="196">
        <v>0</v>
      </c>
      <c r="T57" s="196">
        <v>0</v>
      </c>
      <c r="U57" s="197"/>
      <c r="V57" s="198"/>
      <c r="W57" s="4"/>
      <c r="BD57">
        <f t="shared" si="2"/>
        <v>0</v>
      </c>
      <c r="BJ57">
        <f>IF(BO57&gt;0,"In","")</f>
      </c>
      <c r="BK57" s="41">
        <f>IF(BJ57="In",BO57,"")</f>
      </c>
      <c r="BL57">
        <f>IF(BJ57="In",RANK(BK57,BK$7:BK$86,1),"")</f>
      </c>
      <c r="BM57">
        <f>CONCATENATE(BJ57,BL57)</f>
      </c>
      <c r="BN57">
        <v>57</v>
      </c>
      <c r="BO57" s="41">
        <f t="shared" si="4"/>
        <v>0</v>
      </c>
      <c r="BP57">
        <f t="shared" si="3"/>
      </c>
      <c r="BQ57">
        <f>IF($BJ57="In",A57,"")</f>
      </c>
      <c r="BR57">
        <f>IF($BJ57="In",B57,"")</f>
      </c>
    </row>
    <row r="58" spans="1:67" ht="13.5" thickBot="1">
      <c r="A58" s="48" t="str">
        <f>CONCATENATE(A57,C58)</f>
        <v>Danny EvansPoints</v>
      </c>
      <c r="B58" s="46"/>
      <c r="C58" s="47" t="s">
        <v>37</v>
      </c>
      <c r="D58" s="42">
        <f>IF(D57&gt;0,VLOOKUP(CONCATENATE($C$2,$B57),'Base Calculation'!$A$5:$O$89,D$5+2,FALSE)/D57*100,"")</f>
      </c>
      <c r="E58" s="42">
        <f>IF(E57&gt;0,VLOOKUP(CONCATENATE($C$2,$B57),'Base Calculation'!$A$5:$O$89,E$5+2,FALSE)/E57*100,"")</f>
      </c>
      <c r="F58" s="42">
        <f>IF(F57&gt;0,VLOOKUP(CONCATENATE($C$2,$B57),'Base Calculation'!$A$5:$O$89,F$5+2,FALSE)/F57*100,"")</f>
      </c>
      <c r="G58" s="42">
        <f>IF(G57&gt;0,VLOOKUP(CONCATENATE($C$2,$B57),'Base Calculation'!$A$5:$O$89,G$5+2,FALSE)/G57*100,"")</f>
        <v>80.22657054582902</v>
      </c>
      <c r="H58" s="42">
        <f>IF(H57&gt;0,VLOOKUP(CONCATENATE($C$2,$B57),'Base Calculation'!$A$5:$O$89,H$5+2,FALSE)/H57*100,"")</f>
        <v>79.57099080694586</v>
      </c>
      <c r="I58" s="42">
        <f>IF(I57&gt;0,VLOOKUP(CONCATENATE($C$2,$B57),'Base Calculation'!$A$5:$O$89,I$5+2,FALSE)/I57*100,"")</f>
      </c>
      <c r="J58" s="42">
        <f>IF(J57&gt;0,VLOOKUP(CONCATENATE($C$2,$B57),'Base Calculation'!$A$5:$O$89,J$5+2,FALSE)/J57*100,"")</f>
      </c>
      <c r="K58" s="42">
        <f>IF(K57&gt;0,VLOOKUP(CONCATENATE($C$2,$B57),'Base Calculation'!$A$5:$O$89,K$5+2,FALSE)/K57*100,"")</f>
      </c>
      <c r="L58" s="42">
        <f>IF(L57&gt;0,VLOOKUP(CONCATENATE($C$2,$B57),'Base Calculation'!$A$5:$O$89,L$5+2,FALSE)/L57*100,"")</f>
      </c>
      <c r="M58" s="42">
        <f>IF(M57&gt;0,VLOOKUP(CONCATENATE($C$2,$B57),'Base Calculation'!$A$5:$O$89,M$5+2,FALSE)/M57*100,"")</f>
      </c>
      <c r="N58" s="42">
        <f>IF(N57&gt;0,VLOOKUP(CONCATENATE($C$2,$B57),'Base Calculation'!$A$5:$O$89,N$5+2,FALSE)/N57*100,"")</f>
      </c>
      <c r="O58" s="42">
        <f>IF(O57&gt;0,VLOOKUP(CONCATENATE($C$2,$B57),'Base Calculation'!$A$5:$O$89,O$5+2,FALSE)/O57*100,"")</f>
      </c>
      <c r="P58" s="42">
        <f>IF(P57&gt;0,VLOOKUP(CONCATENATE($C$2,$B57),'Base Calculation'!$A$5:$O$89,P$5+2,FALSE)/P57*100,"")</f>
      </c>
      <c r="Q58" s="42">
        <f>IF(Q57&gt;0,VLOOKUP(CONCATENATE($C$2,$B57),'Base Calculation'!$A$5:$O$89,Q$5+2,FALSE)/Q57*100,"")</f>
      </c>
      <c r="R58" s="42">
        <f>IF(R57&gt;0,VLOOKUP(CONCATENATE($C$2,$B57),'Base Calculation'!$A$5:$O$89,R$5+2,FALSE)/R57*100,"")</f>
      </c>
      <c r="S58" s="42">
        <f>IF(S57&gt;0,VLOOKUP(CONCATENATE($C$2,$B57),'Base Calculation'!$A$5:$O$89,S$5+2,FALSE)/S57*100,"")</f>
      </c>
      <c r="T58" s="83">
        <f>IF(T57&gt;0,VLOOKUP(CONCATENATE($C$2,$B57),'Base Calculation'!$A$5:$O$89,U57+2,FALSE)/T57*100,"")</f>
      </c>
      <c r="U58" s="89">
        <f>IF(U57&gt;0,VLOOKUP(U57,BF$2:BG$14,2,FALSE),"")</f>
      </c>
      <c r="V58" s="90">
        <f>V57</f>
        <v>0</v>
      </c>
      <c r="W58" s="4"/>
      <c r="AP58" s="25">
        <f>17-COUNTIF(D58:T58,"")</f>
        <v>2</v>
      </c>
      <c r="AQ58" t="str">
        <f>CONCATENATE($C$2,BB58)</f>
        <v>Male24</v>
      </c>
      <c r="AS58" s="25">
        <f>SUM(D58:H58)</f>
        <v>159.7975613527749</v>
      </c>
      <c r="AT58" s="25">
        <f>SUM(I58:M58)</f>
        <v>0</v>
      </c>
      <c r="AU58" s="25">
        <f>SUM(N58:S58)</f>
        <v>0</v>
      </c>
      <c r="AV58" s="25">
        <f>IF($AS58&gt;0,LARGE(D58:H58,1),0)</f>
        <v>80.22657054582902</v>
      </c>
      <c r="AW58" s="25">
        <f>IF($AT58&gt;0,LARGE(I58:M58,1),0)</f>
        <v>0</v>
      </c>
      <c r="AX58" s="25">
        <f>IF($AU58&gt;0,LARGE(N58:S58,1),0)</f>
        <v>0</v>
      </c>
      <c r="AY58" s="25">
        <f>IF('League Summary'!$X$2=1,T58,"")</f>
      </c>
      <c r="AZ58" s="25">
        <f>SUM(AV58:AY58)</f>
        <v>80.22657054582902</v>
      </c>
      <c r="BA58" t="str">
        <f>IF(AND(AV58&gt;0,AW58&gt;0,AX58&gt;0,(AP58&gt;=4)),"Q","NQ")</f>
        <v>NQ</v>
      </c>
      <c r="BB58">
        <f>IF(AZ58&gt;0,RANK(AZ58,AZ$8:AZ$86,0),"")</f>
        <v>24</v>
      </c>
      <c r="BC58" t="str">
        <f>A57</f>
        <v>Danny Evans</v>
      </c>
      <c r="BD58">
        <f t="shared" si="2"/>
        <v>30</v>
      </c>
      <c r="BN58">
        <v>58</v>
      </c>
      <c r="BO58" s="108">
        <f t="shared" si="4"/>
      </c>
    </row>
    <row r="59" spans="1:70" ht="12.75">
      <c r="A59" s="192" t="s">
        <v>241</v>
      </c>
      <c r="B59" s="193">
        <v>30</v>
      </c>
      <c r="C59" s="194" t="s">
        <v>36</v>
      </c>
      <c r="D59" s="195">
        <v>0</v>
      </c>
      <c r="E59" s="195">
        <v>0</v>
      </c>
      <c r="F59" s="195">
        <v>0</v>
      </c>
      <c r="G59" s="195">
        <v>0</v>
      </c>
      <c r="H59" s="195">
        <v>0.010972222222222223</v>
      </c>
      <c r="I59" s="195">
        <v>0</v>
      </c>
      <c r="J59" s="195">
        <v>0</v>
      </c>
      <c r="K59" s="195">
        <v>0</v>
      </c>
      <c r="L59" s="195">
        <v>0</v>
      </c>
      <c r="M59" s="195">
        <v>0</v>
      </c>
      <c r="N59" s="195">
        <v>0</v>
      </c>
      <c r="O59" s="195">
        <v>0</v>
      </c>
      <c r="P59" s="195">
        <v>0</v>
      </c>
      <c r="Q59" s="195">
        <v>0</v>
      </c>
      <c r="R59" s="195">
        <v>0</v>
      </c>
      <c r="S59" s="196">
        <v>0</v>
      </c>
      <c r="T59" s="196">
        <v>0</v>
      </c>
      <c r="U59" s="197"/>
      <c r="V59" s="198"/>
      <c r="W59" s="4"/>
      <c r="BD59">
        <f t="shared" si="2"/>
        <v>0</v>
      </c>
      <c r="BJ59">
        <f>IF(BO59&gt;0,"In","")</f>
      </c>
      <c r="BK59" s="41">
        <f>IF(BJ59="In",BO59,"")</f>
      </c>
      <c r="BL59">
        <f>IF(BJ59="In",RANK(BK59,BK$7:BK$86,1),"")</f>
      </c>
      <c r="BM59">
        <f>CONCATENATE(BJ59,BL59)</f>
      </c>
      <c r="BN59">
        <v>59</v>
      </c>
      <c r="BO59" s="41">
        <f t="shared" si="4"/>
        <v>0</v>
      </c>
      <c r="BP59">
        <f t="shared" si="3"/>
      </c>
      <c r="BQ59">
        <f>IF($BJ59="In",A59,"")</f>
      </c>
      <c r="BR59">
        <f>IF($BJ59="In",B59,"")</f>
      </c>
    </row>
    <row r="60" spans="1:67" ht="13.5" thickBot="1">
      <c r="A60" s="48" t="str">
        <f>CONCATENATE(A59,C60)</f>
        <v>Scott TompsettPoints</v>
      </c>
      <c r="B60" s="46"/>
      <c r="C60" s="47" t="s">
        <v>37</v>
      </c>
      <c r="D60" s="42">
        <f>IF(D59&gt;0,VLOOKUP(CONCATENATE($C$2,$B59),'Base Calculation'!$A$5:$O$89,D$5+2,FALSE)/D59*100,"")</f>
      </c>
      <c r="E60" s="42">
        <f>IF(E59&gt;0,VLOOKUP(CONCATENATE($C$2,$B59),'Base Calculation'!$A$5:$O$89,E$5+2,FALSE)/E59*100,"")</f>
      </c>
      <c r="F60" s="42">
        <f>IF(F59&gt;0,VLOOKUP(CONCATENATE($C$2,$B59),'Base Calculation'!$A$5:$O$89,F$5+2,FALSE)/F59*100,"")</f>
      </c>
      <c r="G60" s="42">
        <f>IF(G59&gt;0,VLOOKUP(CONCATENATE($C$2,$B59),'Base Calculation'!$A$5:$O$89,G$5+2,FALSE)/G59*100,"")</f>
      </c>
      <c r="H60" s="42">
        <f>IF(H59&gt;0,VLOOKUP(CONCATENATE($C$2,$B59),'Base Calculation'!$A$5:$O$89,H$5+2,FALSE)/H59*100,"")</f>
        <v>82.17299578059071</v>
      </c>
      <c r="I60" s="42">
        <f>IF(I59&gt;0,VLOOKUP(CONCATENATE($C$2,$B59),'Base Calculation'!$A$5:$O$89,I$5+2,FALSE)/I59*100,"")</f>
      </c>
      <c r="J60" s="42">
        <f>IF(J59&gt;0,VLOOKUP(CONCATENATE($C$2,$B59),'Base Calculation'!$A$5:$O$89,J$5+2,FALSE)/J59*100,"")</f>
      </c>
      <c r="K60" s="42">
        <f>IF(K59&gt;0,VLOOKUP(CONCATENATE($C$2,$B59),'Base Calculation'!$A$5:$O$89,K$5+2,FALSE)/K59*100,"")</f>
      </c>
      <c r="L60" s="42">
        <f>IF(L59&gt;0,VLOOKUP(CONCATENATE($C$2,$B59),'Base Calculation'!$A$5:$O$89,L$5+2,FALSE)/L59*100,"")</f>
      </c>
      <c r="M60" s="42">
        <f>IF(M59&gt;0,VLOOKUP(CONCATENATE($C$2,$B59),'Base Calculation'!$A$5:$O$89,M$5+2,FALSE)/M59*100,"")</f>
      </c>
      <c r="N60" s="42">
        <f>IF(N59&gt;0,VLOOKUP(CONCATENATE($C$2,$B59),'Base Calculation'!$A$5:$O$89,N$5+2,FALSE)/N59*100,"")</f>
      </c>
      <c r="O60" s="42">
        <f>IF(O59&gt;0,VLOOKUP(CONCATENATE($C$2,$B59),'Base Calculation'!$A$5:$O$89,O$5+2,FALSE)/O59*100,"")</f>
      </c>
      <c r="P60" s="42">
        <f>IF(P59&gt;0,VLOOKUP(CONCATENATE($C$2,$B59),'Base Calculation'!$A$5:$O$89,P$5+2,FALSE)/P59*100,"")</f>
      </c>
      <c r="Q60" s="42">
        <f>IF(Q59&gt;0,VLOOKUP(CONCATENATE($C$2,$B59),'Base Calculation'!$A$5:$O$89,Q$5+2,FALSE)/Q59*100,"")</f>
      </c>
      <c r="R60" s="42">
        <f>IF(R59&gt;0,VLOOKUP(CONCATENATE($C$2,$B59),'Base Calculation'!$A$5:$O$89,R$5+2,FALSE)/R59*100,"")</f>
      </c>
      <c r="S60" s="42">
        <f>IF(S59&gt;0,VLOOKUP(CONCATENATE($C$2,$B59),'Base Calculation'!$A$5:$O$89,S$5+2,FALSE)/S59*100,"")</f>
      </c>
      <c r="T60" s="91">
        <f>IF(T59&gt;0,VLOOKUP(CONCATENATE($C$2,$B59),'Base Calculation'!$A$5:$O$89,U59+2,FALSE)/T59*100,"")</f>
      </c>
      <c r="U60" s="92">
        <f>IF(U59&gt;0,VLOOKUP(U59,BF$2:BG$14,2,FALSE),"")</f>
      </c>
      <c r="V60" s="93">
        <f>V59</f>
        <v>0</v>
      </c>
      <c r="W60" s="4"/>
      <c r="AP60" s="25">
        <f>17-COUNTIF(D60:T60,"")</f>
        <v>1</v>
      </c>
      <c r="AQ60" t="str">
        <f>CONCATENATE($C$2,BB60)</f>
        <v>Male23</v>
      </c>
      <c r="AS60" s="25">
        <f>SUM(D60:H60)</f>
        <v>82.17299578059071</v>
      </c>
      <c r="AT60" s="25">
        <f>SUM(I60:M60)</f>
        <v>0</v>
      </c>
      <c r="AU60" s="25">
        <f>SUM(N60:S60)</f>
        <v>0</v>
      </c>
      <c r="AV60" s="25">
        <f>IF($AS60&gt;0,LARGE(D60:H60,1),0)</f>
        <v>82.17299578059071</v>
      </c>
      <c r="AW60" s="25">
        <f>IF($AT60&gt;0,LARGE(I60:M60,1),0)</f>
        <v>0</v>
      </c>
      <c r="AX60" s="25">
        <f>IF($AU60&gt;0,LARGE(N60:S60,1),0)</f>
        <v>0</v>
      </c>
      <c r="AY60" s="25">
        <f>IF('League Summary'!$X$2=1,T60,"")</f>
      </c>
      <c r="AZ60" s="25">
        <f>SUM(AV60:AY60)</f>
        <v>82.17299578059071</v>
      </c>
      <c r="BA60" t="str">
        <f>IF(AND(AV60&gt;0,AW60&gt;0,AX60&gt;0,(AP60&gt;=4)),"Q","NQ")</f>
        <v>NQ</v>
      </c>
      <c r="BB60">
        <f>IF(AZ60&gt;0,RANK(AZ60,AZ$8:AZ$86,0),"")</f>
        <v>23</v>
      </c>
      <c r="BC60" t="str">
        <f>A59</f>
        <v>Scott Tompsett</v>
      </c>
      <c r="BD60">
        <f t="shared" si="2"/>
        <v>30</v>
      </c>
      <c r="BN60">
        <v>60</v>
      </c>
      <c r="BO60" s="108">
        <f t="shared" si="4"/>
      </c>
    </row>
    <row r="61" spans="1:70" ht="12.75">
      <c r="A61" s="192" t="s">
        <v>242</v>
      </c>
      <c r="B61" s="193">
        <v>31</v>
      </c>
      <c r="C61" s="194" t="s">
        <v>36</v>
      </c>
      <c r="D61" s="195">
        <v>0</v>
      </c>
      <c r="E61" s="195">
        <v>0</v>
      </c>
      <c r="F61" s="195">
        <v>0</v>
      </c>
      <c r="G61" s="195">
        <v>0</v>
      </c>
      <c r="H61" s="195">
        <v>0.01383101851851852</v>
      </c>
      <c r="I61" s="195">
        <v>0</v>
      </c>
      <c r="J61" s="195">
        <v>0</v>
      </c>
      <c r="K61" s="195">
        <v>0</v>
      </c>
      <c r="L61" s="195">
        <v>0</v>
      </c>
      <c r="M61" s="195">
        <v>0</v>
      </c>
      <c r="N61" s="195">
        <v>0</v>
      </c>
      <c r="O61" s="195">
        <v>0</v>
      </c>
      <c r="P61" s="195">
        <v>0</v>
      </c>
      <c r="Q61" s="195">
        <v>0</v>
      </c>
      <c r="R61" s="195">
        <v>0</v>
      </c>
      <c r="S61" s="196">
        <v>0</v>
      </c>
      <c r="T61" s="196">
        <v>0</v>
      </c>
      <c r="U61" s="197"/>
      <c r="V61" s="198"/>
      <c r="W61" s="4"/>
      <c r="BD61">
        <f t="shared" si="2"/>
        <v>0</v>
      </c>
      <c r="BJ61">
        <f>IF(BO61&gt;0,"In","")</f>
      </c>
      <c r="BK61" s="41">
        <f>IF(BJ61="In",BO61,"")</f>
      </c>
      <c r="BL61">
        <f>IF(BJ61="In",RANK(BK61,BK$7:BK$86,1),"")</f>
      </c>
      <c r="BM61">
        <f>CONCATENATE(BJ61,BL61)</f>
      </c>
      <c r="BN61">
        <v>61</v>
      </c>
      <c r="BO61" s="41">
        <f t="shared" si="4"/>
        <v>0</v>
      </c>
      <c r="BP61">
        <f t="shared" si="3"/>
      </c>
      <c r="BQ61">
        <f>IF($BJ61="In",A61,"")</f>
      </c>
      <c r="BR61">
        <f>IF($BJ61="In",B61,"")</f>
      </c>
    </row>
    <row r="62" spans="1:67" ht="13.5" thickBot="1">
      <c r="A62" s="48" t="str">
        <f>CONCATENATE(A61,C62)</f>
        <v>Jos JonesPoints</v>
      </c>
      <c r="B62" s="46"/>
      <c r="C62" s="47" t="s">
        <v>37</v>
      </c>
      <c r="D62" s="42">
        <f>IF(D61&gt;0,VLOOKUP(CONCATENATE($C$2,$B61),'Base Calculation'!$A$5:$O$89,D$5+2,FALSE)/D61*100,"")</f>
      </c>
      <c r="E62" s="42">
        <f>IF(E61&gt;0,VLOOKUP(CONCATENATE($C$2,$B61),'Base Calculation'!$A$5:$O$89,E$5+2,FALSE)/E61*100,"")</f>
      </c>
      <c r="F62" s="42">
        <f>IF(F61&gt;0,VLOOKUP(CONCATENATE($C$2,$B61),'Base Calculation'!$A$5:$O$89,F$5+2,FALSE)/F61*100,"")</f>
      </c>
      <c r="G62" s="42">
        <f>IF(G61&gt;0,VLOOKUP(CONCATENATE($C$2,$B61),'Base Calculation'!$A$5:$O$89,G$5+2,FALSE)/G61*100,"")</f>
      </c>
      <c r="H62" s="42">
        <f>IF(H61&gt;0,VLOOKUP(CONCATENATE($C$2,$B61),'Base Calculation'!$A$5:$O$89,H$5+2,FALSE)/H61*100,"")</f>
        <v>65.54880293497078</v>
      </c>
      <c r="I62" s="42">
        <f>IF(I61&gt;0,VLOOKUP(CONCATENATE($C$2,$B61),'Base Calculation'!$A$5:$O$89,I$5+2,FALSE)/I61*100,"")</f>
      </c>
      <c r="J62" s="42">
        <f>IF(J61&gt;0,VLOOKUP(CONCATENATE($C$2,$B61),'Base Calculation'!$A$5:$O$89,J$5+2,FALSE)/J61*100,"")</f>
      </c>
      <c r="K62" s="42">
        <f>IF(K61&gt;0,VLOOKUP(CONCATENATE($C$2,$B61),'Base Calculation'!$A$5:$O$89,K$5+2,FALSE)/K61*100,"")</f>
      </c>
      <c r="L62" s="42">
        <f>IF(L61&gt;0,VLOOKUP(CONCATENATE($C$2,$B61),'Base Calculation'!$A$5:$O$89,L$5+2,FALSE)/L61*100,"")</f>
      </c>
      <c r="M62" s="42">
        <f>IF(M61&gt;0,VLOOKUP(CONCATENATE($C$2,$B61),'Base Calculation'!$A$5:$O$89,M$5+2,FALSE)/M61*100,"")</f>
      </c>
      <c r="N62" s="42">
        <f>IF(N61&gt;0,VLOOKUP(CONCATENATE($C$2,$B61),'Base Calculation'!$A$5:$O$89,N$5+2,FALSE)/N61*100,"")</f>
      </c>
      <c r="O62" s="42">
        <f>IF(O61&gt;0,VLOOKUP(CONCATENATE($C$2,$B61),'Base Calculation'!$A$5:$O$89,O$5+2,FALSE)/O61*100,"")</f>
      </c>
      <c r="P62" s="42">
        <f>IF(P61&gt;0,VLOOKUP(CONCATENATE($C$2,$B61),'Base Calculation'!$A$5:$O$89,P$5+2,FALSE)/P61*100,"")</f>
      </c>
      <c r="Q62" s="42">
        <f>IF(Q61&gt;0,VLOOKUP(CONCATENATE($C$2,$B61),'Base Calculation'!$A$5:$O$89,Q$5+2,FALSE)/Q61*100,"")</f>
      </c>
      <c r="R62" s="42">
        <f>IF(R61&gt;0,VLOOKUP(CONCATENATE($C$2,$B61),'Base Calculation'!$A$5:$O$89,R$5+2,FALSE)/R61*100,"")</f>
      </c>
      <c r="S62" s="42">
        <f>IF(S61&gt;0,VLOOKUP(CONCATENATE($C$2,$B61),'Base Calculation'!$A$5:$O$89,S$5+2,FALSE)/S61*100,"")</f>
      </c>
      <c r="T62" s="83">
        <f>IF(T61&gt;0,VLOOKUP(CONCATENATE($C$2,$B61),'Base Calculation'!$A$5:$O$89,U61+2,FALSE)/T61*100,"")</f>
      </c>
      <c r="U62" s="89">
        <f>IF(U61&gt;0,VLOOKUP(U61,BF$2:BG$14,2,FALSE),"")</f>
      </c>
      <c r="V62" s="90">
        <f>V61</f>
        <v>0</v>
      </c>
      <c r="W62" s="4"/>
      <c r="AP62" s="25">
        <f>17-COUNTIF(D62:T62,"")</f>
        <v>1</v>
      </c>
      <c r="AQ62" t="str">
        <f>CONCATENATE($C$2,BB62)</f>
        <v>Male28</v>
      </c>
      <c r="AS62" s="25">
        <f>SUM(D62:H62)</f>
        <v>65.54880293497078</v>
      </c>
      <c r="AT62" s="25">
        <f>SUM(I62:M62)</f>
        <v>0</v>
      </c>
      <c r="AU62" s="25">
        <f>SUM(N62:S62)</f>
        <v>0</v>
      </c>
      <c r="AV62" s="25">
        <f>IF($AS62&gt;0,LARGE(D62:H62,1),0)</f>
        <v>65.54880293497078</v>
      </c>
      <c r="AW62" s="25">
        <f>IF($AT62&gt;0,LARGE(I62:M62,1),0)</f>
        <v>0</v>
      </c>
      <c r="AX62" s="25">
        <f>IF($AU62&gt;0,LARGE(N62:S62,1),0)</f>
        <v>0</v>
      </c>
      <c r="AY62" s="25">
        <f>IF('League Summary'!$X$2=1,T62,"")</f>
      </c>
      <c r="AZ62" s="25">
        <f>SUM(AV62:AY62)</f>
        <v>65.54880293497078</v>
      </c>
      <c r="BA62" t="str">
        <f>IF(AND(AV62&gt;0,AW62&gt;0,AX62&gt;0,(AP62&gt;=4)),"Q","NQ")</f>
        <v>NQ</v>
      </c>
      <c r="BB62">
        <f>IF(AZ62&gt;0,RANK(AZ62,AZ$8:AZ$86,0),"")</f>
        <v>28</v>
      </c>
      <c r="BC62" t="str">
        <f>A61</f>
        <v>Jos Jones</v>
      </c>
      <c r="BD62">
        <f t="shared" si="2"/>
        <v>31</v>
      </c>
      <c r="BN62">
        <v>62</v>
      </c>
      <c r="BO62" s="108">
        <f t="shared" si="4"/>
      </c>
    </row>
    <row r="63" spans="1:70" ht="12.75">
      <c r="A63" s="192" t="s">
        <v>258</v>
      </c>
      <c r="B63" s="193">
        <v>45</v>
      </c>
      <c r="C63" s="194" t="s">
        <v>36</v>
      </c>
      <c r="D63" s="195">
        <v>0</v>
      </c>
      <c r="E63" s="195">
        <v>0</v>
      </c>
      <c r="F63" s="195">
        <v>0</v>
      </c>
      <c r="G63" s="195">
        <v>0</v>
      </c>
      <c r="H63" s="195">
        <v>0</v>
      </c>
      <c r="I63" s="195">
        <v>0</v>
      </c>
      <c r="J63" s="195">
        <v>0</v>
      </c>
      <c r="K63" s="195">
        <v>0</v>
      </c>
      <c r="L63" s="195">
        <v>0</v>
      </c>
      <c r="M63" s="195">
        <v>0.029965277777777775</v>
      </c>
      <c r="N63" s="195">
        <v>0</v>
      </c>
      <c r="O63" s="195">
        <v>0</v>
      </c>
      <c r="P63" s="195">
        <v>0</v>
      </c>
      <c r="Q63" s="195">
        <v>0</v>
      </c>
      <c r="R63" s="195">
        <v>0</v>
      </c>
      <c r="S63" s="196">
        <v>0.049629629629629635</v>
      </c>
      <c r="T63" s="196">
        <v>0</v>
      </c>
      <c r="U63" s="197"/>
      <c r="V63" s="198"/>
      <c r="W63" s="4"/>
      <c r="BD63">
        <f t="shared" si="2"/>
        <v>0</v>
      </c>
      <c r="BJ63" t="str">
        <f>IF(BO63&gt;0,"In","")</f>
        <v>In</v>
      </c>
      <c r="BK63" s="41">
        <f>IF(BJ63="In",BO63,"")</f>
        <v>0.029965277777777775</v>
      </c>
      <c r="BL63">
        <f>IF(BJ63="In",RANK(BK63,BK$7:BK$86,1),"")</f>
        <v>9</v>
      </c>
      <c r="BM63" t="str">
        <f>CONCATENATE(BJ63,BL63)</f>
        <v>In9</v>
      </c>
      <c r="BN63">
        <v>63</v>
      </c>
      <c r="BO63" s="41">
        <f t="shared" si="4"/>
        <v>0.029965277777777775</v>
      </c>
      <c r="BP63">
        <f t="shared" si="3"/>
        <v>69.33443387990287</v>
      </c>
      <c r="BQ63" t="str">
        <f>IF($BJ63="In",A63,"")</f>
        <v>Mark Steiler</v>
      </c>
      <c r="BR63">
        <f>IF($BJ63="In",B63,"")</f>
        <v>45</v>
      </c>
    </row>
    <row r="64" spans="1:67" ht="13.5" thickBot="1">
      <c r="A64" s="48" t="str">
        <f>CONCATENATE(A63,C64)</f>
        <v>Mark SteilerPoints</v>
      </c>
      <c r="B64" s="46"/>
      <c r="C64" s="47" t="s">
        <v>37</v>
      </c>
      <c r="D64" s="42">
        <f>IF(D63&gt;0,VLOOKUP(CONCATENATE($C$2,$B63),'Base Calculation'!$A$5:$O$89,D$5+2,FALSE)/D63*100,"")</f>
      </c>
      <c r="E64" s="42">
        <f>IF(E63&gt;0,VLOOKUP(CONCATENATE($C$2,$B63),'Base Calculation'!$A$5:$O$89,E$5+2,FALSE)/E63*100,"")</f>
      </c>
      <c r="F64" s="42">
        <f>IF(F63&gt;0,VLOOKUP(CONCATENATE($C$2,$B63),'Base Calculation'!$A$5:$O$89,F$5+2,FALSE)/F63*100,"")</f>
      </c>
      <c r="G64" s="42">
        <f>IF(G63&gt;0,VLOOKUP(CONCATENATE($C$2,$B63),'Base Calculation'!$A$5:$O$89,G$5+2,FALSE)/G63*100,"")</f>
      </c>
      <c r="H64" s="42">
        <f>IF(H63&gt;0,VLOOKUP(CONCATENATE($C$2,$B63),'Base Calculation'!$A$5:$O$89,H$5+2,FALSE)/H63*100,"")</f>
      </c>
      <c r="I64" s="42">
        <f>IF(I63&gt;0,VLOOKUP(CONCATENATE($C$2,$B63),'Base Calculation'!$A$5:$O$89,I$5+2,FALSE)/I63*100,"")</f>
      </c>
      <c r="J64" s="42">
        <f>IF(J63&gt;0,VLOOKUP(CONCATENATE($C$2,$B63),'Base Calculation'!$A$5:$O$89,J$5+2,FALSE)/J63*100,"")</f>
      </c>
      <c r="K64" s="42">
        <f>IF(K63&gt;0,VLOOKUP(CONCATENATE($C$2,$B63),'Base Calculation'!$A$5:$O$89,K$5+2,FALSE)/K63*100,"")</f>
      </c>
      <c r="L64" s="42">
        <f>IF(L63&gt;0,VLOOKUP(CONCATENATE($C$2,$B63),'Base Calculation'!$A$5:$O$89,L$5+2,FALSE)/L63*100,"")</f>
      </c>
      <c r="M64" s="42">
        <f>IF(M63&gt;0,VLOOKUP(CONCATENATE($C$2,$B63),'Base Calculation'!$A$5:$O$89,M$5+2,FALSE)/M63*100,"")</f>
        <v>69.33443387990287</v>
      </c>
      <c r="N64" s="42">
        <f>IF(N63&gt;0,VLOOKUP(CONCATENATE($C$2,$B63),'Base Calculation'!$A$5:$O$89,N$5+2,FALSE)/N63*100,"")</f>
      </c>
      <c r="O64" s="42">
        <f>IF(O63&gt;0,VLOOKUP(CONCATENATE($C$2,$B63),'Base Calculation'!$A$5:$O$89,O$5+2,FALSE)/O63*100,"")</f>
      </c>
      <c r="P64" s="42">
        <f>IF(P63&gt;0,VLOOKUP(CONCATENATE($C$2,$B63),'Base Calculation'!$A$5:$O$89,P$5+2,FALSE)/P63*100,"")</f>
      </c>
      <c r="Q64" s="42">
        <f>IF(Q63&gt;0,VLOOKUP(CONCATENATE($C$2,$B63),'Base Calculation'!$A$5:$O$89,Q$5+2,FALSE)/Q63*100,"")</f>
      </c>
      <c r="R64" s="42">
        <f>IF(R63&gt;0,VLOOKUP(CONCATENATE($C$2,$B63),'Base Calculation'!$A$5:$O$89,R$5+2,FALSE)/R63*100,"")</f>
      </c>
      <c r="S64" s="42">
        <f>IF(S63&gt;0,VLOOKUP(CONCATENATE($C$2,$B63),'Base Calculation'!$A$5:$O$89,S$5+2,FALSE)/S63*100,"")</f>
        <v>68.08423635248415</v>
      </c>
      <c r="T64" s="91">
        <f>IF(T63&gt;0,VLOOKUP(CONCATENATE($C$2,$B63),'Base Calculation'!$A$5:$O$89,U63+2,FALSE)/T63*100,"")</f>
      </c>
      <c r="U64" s="92">
        <f>IF(U63&gt;0,VLOOKUP(U63,BF$2:BG$14,2,FALSE),"")</f>
      </c>
      <c r="V64" s="93">
        <f>V63</f>
        <v>0</v>
      </c>
      <c r="W64" s="4"/>
      <c r="AP64" s="25">
        <f>17-COUNTIF(D64:T64,"")</f>
        <v>2</v>
      </c>
      <c r="AQ64" t="str">
        <f>CONCATENATE($C$2,BB64)</f>
        <v>Male17</v>
      </c>
      <c r="AS64" s="25">
        <f>SUM(D64:H64)</f>
        <v>0</v>
      </c>
      <c r="AT64" s="25">
        <f>SUM(I64:M64)</f>
        <v>69.33443387990287</v>
      </c>
      <c r="AU64" s="25">
        <f>SUM(N64:S64)</f>
        <v>68.08423635248415</v>
      </c>
      <c r="AV64" s="25">
        <f>IF($AS64&gt;0,LARGE(D64:H64,1),0)</f>
        <v>0</v>
      </c>
      <c r="AW64" s="25">
        <f>IF($AT64&gt;0,LARGE(I64:M64,1),0)</f>
        <v>69.33443387990287</v>
      </c>
      <c r="AX64" s="25">
        <f>IF($AU64&gt;0,LARGE(N64:S64,1),0)</f>
        <v>68.08423635248415</v>
      </c>
      <c r="AY64" s="25">
        <f>IF('League Summary'!$X$2=1,T64,"")</f>
      </c>
      <c r="AZ64" s="25">
        <f>SUM(AV64:AY64)</f>
        <v>137.41867023238703</v>
      </c>
      <c r="BA64" t="str">
        <f>IF(AND(AV64&gt;0,AW64&gt;0,AX64&gt;0,(AP64&gt;=4)),"Q","NQ")</f>
        <v>NQ</v>
      </c>
      <c r="BB64">
        <f>IF(AZ64&gt;0,RANK(AZ64,AZ$8:AZ$86,0),"")</f>
        <v>17</v>
      </c>
      <c r="BC64" t="str">
        <f>A63</f>
        <v>Mark Steiler</v>
      </c>
      <c r="BD64">
        <f t="shared" si="2"/>
        <v>45</v>
      </c>
      <c r="BN64">
        <v>64</v>
      </c>
      <c r="BO64" s="108">
        <f t="shared" si="4"/>
        <v>69.33443387990287</v>
      </c>
    </row>
    <row r="65" spans="1:70" ht="12.75">
      <c r="A65" s="192" t="s">
        <v>264</v>
      </c>
      <c r="B65" s="193">
        <v>34</v>
      </c>
      <c r="C65" s="194" t="s">
        <v>36</v>
      </c>
      <c r="D65" s="195">
        <v>0</v>
      </c>
      <c r="E65" s="195">
        <v>0</v>
      </c>
      <c r="F65" s="195">
        <v>0</v>
      </c>
      <c r="G65" s="195">
        <v>0</v>
      </c>
      <c r="H65" s="195">
        <v>0</v>
      </c>
      <c r="I65" s="195">
        <v>0</v>
      </c>
      <c r="J65" s="195">
        <v>0</v>
      </c>
      <c r="K65" s="195">
        <v>0</v>
      </c>
      <c r="L65" s="195">
        <v>0</v>
      </c>
      <c r="M65" s="195">
        <v>0.026296296296296293</v>
      </c>
      <c r="N65" s="195">
        <v>0</v>
      </c>
      <c r="O65" s="195">
        <v>0</v>
      </c>
      <c r="P65" s="195">
        <v>0</v>
      </c>
      <c r="Q65" s="195">
        <v>0</v>
      </c>
      <c r="R65" s="195">
        <v>0</v>
      </c>
      <c r="S65" s="196">
        <v>0</v>
      </c>
      <c r="T65" s="196">
        <v>0</v>
      </c>
      <c r="U65" s="197"/>
      <c r="V65" s="198"/>
      <c r="W65" s="4"/>
      <c r="BD65">
        <f t="shared" si="2"/>
        <v>0</v>
      </c>
      <c r="BJ65" t="str">
        <f>IF(BO65&gt;0,"In","")</f>
        <v>In</v>
      </c>
      <c r="BK65" s="41">
        <f>IF(BJ65="In",BO65,"")</f>
        <v>0.026296296296296293</v>
      </c>
      <c r="BL65">
        <f>IF(BJ65="In",RANK(BK65,BK$7:BK$86,1),"")</f>
        <v>1</v>
      </c>
      <c r="BM65" t="str">
        <f>CONCATENATE(BJ65,BL65)</f>
        <v>In1</v>
      </c>
      <c r="BN65">
        <v>65</v>
      </c>
      <c r="BO65" s="41">
        <f t="shared" si="4"/>
        <v>0.026296296296296293</v>
      </c>
      <c r="BP65">
        <f t="shared" si="3"/>
        <v>73.72437920291975</v>
      </c>
      <c r="BQ65" t="str">
        <f>IF($BJ65="In",A65,"")</f>
        <v>Stephen King</v>
      </c>
      <c r="BR65">
        <f>IF($BJ65="In",B65,"")</f>
        <v>34</v>
      </c>
    </row>
    <row r="66" spans="1:67" ht="13.5" thickBot="1">
      <c r="A66" s="48" t="str">
        <f>CONCATENATE(A65,C66)</f>
        <v>Stephen KingPoints</v>
      </c>
      <c r="B66" s="46"/>
      <c r="C66" s="47" t="s">
        <v>37</v>
      </c>
      <c r="D66" s="42">
        <f>IF(D65&gt;0,VLOOKUP(CONCATENATE($C$2,$B65),'Base Calculation'!$A$5:$O$89,D$5+2,FALSE)/D65*100,"")</f>
      </c>
      <c r="E66" s="42">
        <f>IF(E65&gt;0,VLOOKUP(CONCATENATE($C$2,$B65),'Base Calculation'!$A$5:$O$89,E$5+2,FALSE)/E65*100,"")</f>
      </c>
      <c r="F66" s="42">
        <f>IF(F65&gt;0,VLOOKUP(CONCATENATE($C$2,$B65),'Base Calculation'!$A$5:$O$89,F$5+2,FALSE)/F65*100,"")</f>
      </c>
      <c r="G66" s="42">
        <f>IF(G65&gt;0,VLOOKUP(CONCATENATE($C$2,$B65),'Base Calculation'!$A$5:$O$89,G$5+2,FALSE)/G65*100,"")</f>
      </c>
      <c r="H66" s="42">
        <f>IF(H65&gt;0,VLOOKUP(CONCATENATE($C$2,$B65),'Base Calculation'!$A$5:$O$89,H$5+2,FALSE)/H65*100,"")</f>
      </c>
      <c r="I66" s="42">
        <f>IF(I65&gt;0,VLOOKUP(CONCATENATE($C$2,$B65),'Base Calculation'!$A$5:$O$89,I$5+2,FALSE)/I65*100,"")</f>
      </c>
      <c r="J66" s="42">
        <f>IF(J65&gt;0,VLOOKUP(CONCATENATE($C$2,$B65),'Base Calculation'!$A$5:$O$89,J$5+2,FALSE)/J65*100,"")</f>
      </c>
      <c r="K66" s="42">
        <f>IF(K65&gt;0,VLOOKUP(CONCATENATE($C$2,$B65),'Base Calculation'!$A$5:$O$89,K$5+2,FALSE)/K65*100,"")</f>
      </c>
      <c r="L66" s="42">
        <f>IF(L65&gt;0,VLOOKUP(CONCATENATE($C$2,$B65),'Base Calculation'!$A$5:$O$89,L$5+2,FALSE)/L65*100,"")</f>
      </c>
      <c r="M66" s="42">
        <f>IF(M65&gt;0,VLOOKUP(CONCATENATE($C$2,$B65),'Base Calculation'!$A$5:$O$89,M$5+2,FALSE)/M65*100,"")</f>
        <v>73.72437920291975</v>
      </c>
      <c r="N66" s="42">
        <f>IF(N65&gt;0,VLOOKUP(CONCATENATE($C$2,$B65),'Base Calculation'!$A$5:$O$89,N$5+2,FALSE)/N65*100,"")</f>
      </c>
      <c r="O66" s="42">
        <f>IF(O65&gt;0,VLOOKUP(CONCATENATE($C$2,$B65),'Base Calculation'!$A$5:$O$89,O$5+2,FALSE)/O65*100,"")</f>
      </c>
      <c r="P66" s="42">
        <f>IF(P65&gt;0,VLOOKUP(CONCATENATE($C$2,$B65),'Base Calculation'!$A$5:$O$89,P$5+2,FALSE)/P65*100,"")</f>
      </c>
      <c r="Q66" s="42">
        <f>IF(Q65&gt;0,VLOOKUP(CONCATENATE($C$2,$B65),'Base Calculation'!$A$5:$O$89,Q$5+2,FALSE)/Q65*100,"")</f>
      </c>
      <c r="R66" s="42">
        <f>IF(R65&gt;0,VLOOKUP(CONCATENATE($C$2,$B65),'Base Calculation'!$A$5:$O$89,R$5+2,FALSE)/R65*100,"")</f>
      </c>
      <c r="S66" s="42">
        <f>IF(S65&gt;0,VLOOKUP(CONCATENATE($C$2,$B65),'Base Calculation'!$A$5:$O$89,S$5+2,FALSE)/S65*100,"")</f>
      </c>
      <c r="T66" s="83">
        <f>IF(T65&gt;0,VLOOKUP(CONCATENATE($C$2,$B65),'Base Calculation'!$A$5:$O$89,U65+2,FALSE)/T65*100,"")</f>
      </c>
      <c r="U66" s="89">
        <f>IF(U65&gt;0,VLOOKUP(U65,BF$2:BG$14,2,FALSE),"")</f>
      </c>
      <c r="V66" s="90">
        <f>V65</f>
        <v>0</v>
      </c>
      <c r="W66" s="4"/>
      <c r="AP66" s="25">
        <f>17-COUNTIF(D66:T66,"")</f>
        <v>1</v>
      </c>
      <c r="AQ66" t="str">
        <f>CONCATENATE($C$2,BB66)</f>
        <v>Male26</v>
      </c>
      <c r="AS66" s="25">
        <f>SUM(D66:H66)</f>
        <v>0</v>
      </c>
      <c r="AT66" s="25">
        <f>SUM(I66:M66)</f>
        <v>73.72437920291975</v>
      </c>
      <c r="AU66" s="25">
        <f>SUM(N66:S66)</f>
        <v>0</v>
      </c>
      <c r="AV66" s="25">
        <f>IF($AS66&gt;0,LARGE(D66:H66,1),0)</f>
        <v>0</v>
      </c>
      <c r="AW66" s="25">
        <f>IF($AT66&gt;0,LARGE(I66:M66,1),0)</f>
        <v>73.72437920291975</v>
      </c>
      <c r="AX66" s="25">
        <f>IF($AU66&gt;0,LARGE(N66:S66,1),0)</f>
        <v>0</v>
      </c>
      <c r="AY66" s="25">
        <f>IF('League Summary'!$X$2=1,T66,"")</f>
      </c>
      <c r="AZ66" s="25">
        <f>SUM(AV66:AY66)</f>
        <v>73.72437920291975</v>
      </c>
      <c r="BA66" t="str">
        <f>IF(AND(AV66&gt;0,AW66&gt;0,AX66&gt;0,(AP66&gt;=4)),"Q","NQ")</f>
        <v>NQ</v>
      </c>
      <c r="BB66">
        <f>IF(AZ66&gt;0,RANK(AZ66,AZ$8:AZ$86,0),"")</f>
        <v>26</v>
      </c>
      <c r="BC66" t="str">
        <f>A65</f>
        <v>Stephen King</v>
      </c>
      <c r="BD66">
        <f t="shared" si="2"/>
        <v>34</v>
      </c>
      <c r="BN66">
        <v>66</v>
      </c>
      <c r="BO66" s="108">
        <f t="shared" si="4"/>
        <v>73.72437920291975</v>
      </c>
    </row>
    <row r="67" spans="1:70" ht="12.75">
      <c r="A67" s="192" t="s">
        <v>268</v>
      </c>
      <c r="B67" s="193">
        <v>52</v>
      </c>
      <c r="C67" s="194" t="s">
        <v>36</v>
      </c>
      <c r="D67" s="195">
        <v>0</v>
      </c>
      <c r="E67" s="195">
        <v>0</v>
      </c>
      <c r="F67" s="195">
        <v>0</v>
      </c>
      <c r="G67" s="195">
        <v>0</v>
      </c>
      <c r="H67" s="195">
        <v>0.029976851851851852</v>
      </c>
      <c r="I67" s="195">
        <v>0</v>
      </c>
      <c r="J67" s="195">
        <v>0</v>
      </c>
      <c r="K67" s="195">
        <v>0</v>
      </c>
      <c r="L67" s="195">
        <v>0</v>
      </c>
      <c r="M67" s="195">
        <v>0</v>
      </c>
      <c r="N67" s="195">
        <v>0</v>
      </c>
      <c r="O67" s="195">
        <v>0</v>
      </c>
      <c r="P67" s="195">
        <v>0</v>
      </c>
      <c r="Q67" s="195">
        <v>0</v>
      </c>
      <c r="R67" s="195">
        <v>0</v>
      </c>
      <c r="S67" s="196">
        <v>0</v>
      </c>
      <c r="T67" s="196">
        <v>0</v>
      </c>
      <c r="U67" s="197"/>
      <c r="V67" s="198"/>
      <c r="W67" s="4"/>
      <c r="BD67">
        <f aca="true" t="shared" si="5" ref="BD67:BD86">B66</f>
        <v>0</v>
      </c>
      <c r="BJ67">
        <f>IF(BO67&gt;0,"In","")</f>
      </c>
      <c r="BK67" s="41">
        <f>IF(BJ67="In",BO67,"")</f>
      </c>
      <c r="BL67">
        <f>IF(BJ67="In",RANK(BK67,BK$7:BK$86,1),"")</f>
      </c>
      <c r="BM67">
        <f>CONCATENATE(BJ67,BL67)</f>
      </c>
      <c r="BN67">
        <f>BN66+1</f>
        <v>67</v>
      </c>
      <c r="BO67" s="41">
        <f t="shared" si="4"/>
        <v>0</v>
      </c>
      <c r="BP67">
        <f>BO68</f>
      </c>
      <c r="BQ67">
        <f>IF($BJ67="In",A67,"")</f>
      </c>
      <c r="BR67">
        <f>IF($BJ67="In",B67,"")</f>
      </c>
    </row>
    <row r="68" spans="1:67" ht="13.5" thickBot="1">
      <c r="A68" s="48" t="str">
        <f>CONCATENATE(A67,C68)</f>
        <v>Gwilym JonesPoints</v>
      </c>
      <c r="B68" s="46"/>
      <c r="C68" s="47" t="s">
        <v>37</v>
      </c>
      <c r="D68" s="42">
        <f>IF(D67&gt;0,VLOOKUP(CONCATENATE($C$2,$B67),'Base Calculation'!$A$5:$O$89,D$5+2,FALSE)/D67*100,"")</f>
      </c>
      <c r="E68" s="42">
        <f>IF(E67&gt;0,VLOOKUP(CONCATENATE($C$2,$B67),'Base Calculation'!$A$5:$O$89,E$5+2,FALSE)/E67*100,"")</f>
      </c>
      <c r="F68" s="42">
        <f>IF(F67&gt;0,VLOOKUP(CONCATENATE($C$2,$B67),'Base Calculation'!$A$5:$O$89,F$5+2,FALSE)/F67*100,"")</f>
      </c>
      <c r="G68" s="42">
        <f>IF(G67&gt;0,VLOOKUP(CONCATENATE($C$2,$B67),'Base Calculation'!$A$5:$O$89,G$5+2,FALSE)/G67*100,"")</f>
      </c>
      <c r="H68" s="42">
        <f>IF(H67&gt;0,VLOOKUP(CONCATENATE($C$2,$B67),'Base Calculation'!$A$5:$O$89,H$5+2,FALSE)/H67*100,"")</f>
        <v>34.715166294113665</v>
      </c>
      <c r="I68" s="42">
        <f>IF(I67&gt;0,VLOOKUP(CONCATENATE($C$2,$B67),'Base Calculation'!$A$5:$O$89,I$5+2,FALSE)/I67*100,"")</f>
      </c>
      <c r="J68" s="42">
        <f>IF(J67&gt;0,VLOOKUP(CONCATENATE($C$2,$B67),'Base Calculation'!$A$5:$O$89,J$5+2,FALSE)/J67*100,"")</f>
      </c>
      <c r="K68" s="42">
        <f>IF(K67&gt;0,VLOOKUP(CONCATENATE($C$2,$B67),'Base Calculation'!$A$5:$O$89,K$5+2,FALSE)/K67*100,"")</f>
      </c>
      <c r="L68" s="42">
        <f>IF(L67&gt;0,VLOOKUP(CONCATENATE($C$2,$B67),'Base Calculation'!$A$5:$O$89,L$5+2,FALSE)/L67*100,"")</f>
      </c>
      <c r="M68" s="42">
        <f>IF(M67&gt;0,VLOOKUP(CONCATENATE($C$2,$B67),'Base Calculation'!$A$5:$O$89,M$5+2,FALSE)/M67*100,"")</f>
      </c>
      <c r="N68" s="42">
        <f>IF(N67&gt;0,VLOOKUP(CONCATENATE($C$2,$B67),'Base Calculation'!$A$5:$O$89,N$5+2,FALSE)/N67*100,"")</f>
      </c>
      <c r="O68" s="42">
        <f>IF(O67&gt;0,VLOOKUP(CONCATENATE($C$2,$B67),'Base Calculation'!$A$5:$O$89,O$5+2,FALSE)/O67*100,"")</f>
      </c>
      <c r="P68" s="42">
        <f>IF(P67&gt;0,VLOOKUP(CONCATENATE($C$2,$B67),'Base Calculation'!$A$5:$O$89,P$5+2,FALSE)/P67*100,"")</f>
      </c>
      <c r="Q68" s="42">
        <f>IF(Q67&gt;0,VLOOKUP(CONCATENATE($C$2,$B67),'Base Calculation'!$A$5:$O$89,Q$5+2,FALSE)/Q67*100,"")</f>
      </c>
      <c r="R68" s="42">
        <f>IF(R67&gt;0,VLOOKUP(CONCATENATE($C$2,$B67),'Base Calculation'!$A$5:$O$89,R$5+2,FALSE)/R67*100,"")</f>
      </c>
      <c r="S68" s="42">
        <f>IF(S67&gt;0,VLOOKUP(CONCATENATE($C$2,$B67),'Base Calculation'!$A$5:$O$89,S$5+2,FALSE)/S67*100,"")</f>
      </c>
      <c r="T68" s="91">
        <f>IF(T67&gt;0,VLOOKUP(CONCATENATE($C$2,$B67),'Base Calculation'!$A$5:$O$89,U67+2,FALSE)/T67*100,"")</f>
      </c>
      <c r="U68" s="92">
        <f>IF(U67&gt;0,VLOOKUP(U67,BF$2:BG$14,2,FALSE),"")</f>
      </c>
      <c r="V68" s="93">
        <f>V67</f>
        <v>0</v>
      </c>
      <c r="W68" s="4"/>
      <c r="AP68" s="25">
        <f>17-COUNTIF(D68:T68,"")</f>
        <v>1</v>
      </c>
      <c r="AQ68" t="str">
        <f>CONCATENATE($C$2,BB68)</f>
        <v>Male31</v>
      </c>
      <c r="AS68" s="25">
        <f>SUM(D68:H68)</f>
        <v>34.715166294113665</v>
      </c>
      <c r="AT68" s="25">
        <f>SUM(I68:M68)</f>
        <v>0</v>
      </c>
      <c r="AU68" s="25">
        <f>SUM(N68:S68)</f>
        <v>0</v>
      </c>
      <c r="AV68" s="25">
        <f>IF($AS68&gt;0,LARGE(D68:H68,1),0)</f>
        <v>34.715166294113665</v>
      </c>
      <c r="AW68" s="25">
        <f>IF($AT68&gt;0,LARGE(I68:M68,1),0)</f>
        <v>0</v>
      </c>
      <c r="AX68" s="25">
        <f>IF($AU68&gt;0,LARGE(N68:S68,1),0)</f>
        <v>0</v>
      </c>
      <c r="AY68" s="25">
        <f>IF('League Summary'!$X$2=1,T68,"")</f>
      </c>
      <c r="AZ68" s="25">
        <f>SUM(AV68:AY68)</f>
        <v>34.715166294113665</v>
      </c>
      <c r="BA68" t="str">
        <f>IF(AND(AV68&gt;0,AW68&gt;0,AX68&gt;0,(AP68&gt;=4)),"Q","NQ")</f>
        <v>NQ</v>
      </c>
      <c r="BB68">
        <f>IF(AZ68&gt;0,RANK(AZ68,AZ$8:AZ$86,0),"")</f>
        <v>31</v>
      </c>
      <c r="BC68" t="str">
        <f>A67</f>
        <v>Gwilym Jones</v>
      </c>
      <c r="BD68">
        <f t="shared" si="5"/>
        <v>52</v>
      </c>
      <c r="BN68">
        <f aca="true" t="shared" si="6" ref="BN68:BN86">BN67+1</f>
        <v>68</v>
      </c>
      <c r="BO68" s="108">
        <f t="shared" si="4"/>
      </c>
    </row>
    <row r="69" spans="1:70" ht="12.75">
      <c r="A69" s="192" t="s">
        <v>269</v>
      </c>
      <c r="B69" s="193">
        <v>30</v>
      </c>
      <c r="C69" s="194" t="s">
        <v>36</v>
      </c>
      <c r="D69" s="195">
        <v>0</v>
      </c>
      <c r="E69" s="195">
        <v>0</v>
      </c>
      <c r="F69" s="195">
        <v>0</v>
      </c>
      <c r="G69" s="195">
        <v>0</v>
      </c>
      <c r="H69" s="195">
        <v>0.030046296296296297</v>
      </c>
      <c r="I69" s="195">
        <v>0</v>
      </c>
      <c r="J69" s="195">
        <v>0</v>
      </c>
      <c r="K69" s="195">
        <v>0</v>
      </c>
      <c r="L69" s="195">
        <v>0</v>
      </c>
      <c r="M69" s="195">
        <v>0</v>
      </c>
      <c r="N69" s="195">
        <v>0</v>
      </c>
      <c r="O69" s="195">
        <v>0</v>
      </c>
      <c r="P69" s="195">
        <v>0</v>
      </c>
      <c r="Q69" s="195">
        <v>0</v>
      </c>
      <c r="R69" s="195">
        <v>0</v>
      </c>
      <c r="S69" s="196">
        <v>0</v>
      </c>
      <c r="T69" s="196">
        <v>0</v>
      </c>
      <c r="U69" s="197"/>
      <c r="V69" s="198"/>
      <c r="W69" s="4"/>
      <c r="BD69">
        <f t="shared" si="5"/>
        <v>0</v>
      </c>
      <c r="BJ69">
        <f>IF(BO69&gt;0,"In","")</f>
      </c>
      <c r="BK69" s="41">
        <f>IF(BJ69="In",BO69,"")</f>
      </c>
      <c r="BL69">
        <f>IF(BJ69="In",RANK(BK69,BK$7:BK$86,1),"")</f>
      </c>
      <c r="BM69">
        <f>CONCATENATE(BJ69,BL69)</f>
      </c>
      <c r="BN69">
        <f t="shared" si="6"/>
        <v>69</v>
      </c>
      <c r="BO69" s="41">
        <f t="shared" si="4"/>
        <v>0</v>
      </c>
      <c r="BP69">
        <f>BO70</f>
      </c>
      <c r="BQ69">
        <f>IF($BJ69="In",A69,"")</f>
      </c>
      <c r="BR69">
        <f>IF($BJ69="In",B69,"")</f>
      </c>
    </row>
    <row r="70" spans="1:67" ht="13.5" thickBot="1">
      <c r="A70" s="48" t="str">
        <f>CONCATENATE(A69,C70)</f>
        <v>Ian EvansPoints</v>
      </c>
      <c r="B70" s="46"/>
      <c r="C70" s="47" t="s">
        <v>37</v>
      </c>
      <c r="D70" s="42">
        <f>IF(D69&gt;0,VLOOKUP(CONCATENATE($C$2,$B69),'Base Calculation'!$A$5:$O$89,D$5+2,FALSE)/D69*100,"")</f>
      </c>
      <c r="E70" s="42">
        <f>IF(E69&gt;0,VLOOKUP(CONCATENATE($C$2,$B69),'Base Calculation'!$A$5:$O$89,E$5+2,FALSE)/E69*100,"")</f>
      </c>
      <c r="F70" s="42">
        <f>IF(F69&gt;0,VLOOKUP(CONCATENATE($C$2,$B69),'Base Calculation'!$A$5:$O$89,F$5+2,FALSE)/F69*100,"")</f>
      </c>
      <c r="G70" s="42">
        <f>IF(G69&gt;0,VLOOKUP(CONCATENATE($C$2,$B69),'Base Calculation'!$A$5:$O$89,G$5+2,FALSE)/G69*100,"")</f>
      </c>
      <c r="H70" s="42">
        <f>IF(H69&gt;0,VLOOKUP(CONCATENATE($C$2,$B69),'Base Calculation'!$A$5:$O$89,H$5+2,FALSE)/H69*100,"")</f>
        <v>30.00770416024653</v>
      </c>
      <c r="I70" s="42">
        <f>IF(I69&gt;0,VLOOKUP(CONCATENATE($C$2,$B69),'Base Calculation'!$A$5:$O$89,I$5+2,FALSE)/I69*100,"")</f>
      </c>
      <c r="J70" s="42">
        <f>IF(J69&gt;0,VLOOKUP(CONCATENATE($C$2,$B69),'Base Calculation'!$A$5:$O$89,J$5+2,FALSE)/J69*100,"")</f>
      </c>
      <c r="K70" s="42">
        <f>IF(K69&gt;0,VLOOKUP(CONCATENATE($C$2,$B69),'Base Calculation'!$A$5:$O$89,K$5+2,FALSE)/K69*100,"")</f>
      </c>
      <c r="L70" s="42">
        <f>IF(L69&gt;0,VLOOKUP(CONCATENATE($C$2,$B69),'Base Calculation'!$A$5:$O$89,L$5+2,FALSE)/L69*100,"")</f>
      </c>
      <c r="M70" s="42">
        <f>IF(M69&gt;0,VLOOKUP(CONCATENATE($C$2,$B69),'Base Calculation'!$A$5:$O$89,M$5+2,FALSE)/M69*100,"")</f>
      </c>
      <c r="N70" s="42">
        <f>IF(N69&gt;0,VLOOKUP(CONCATENATE($C$2,$B69),'Base Calculation'!$A$5:$O$89,N$5+2,FALSE)/N69*100,"")</f>
      </c>
      <c r="O70" s="42">
        <f>IF(O69&gt;0,VLOOKUP(CONCATENATE($C$2,$B69),'Base Calculation'!$A$5:$O$89,O$5+2,FALSE)/O69*100,"")</f>
      </c>
      <c r="P70" s="42">
        <f>IF(P69&gt;0,VLOOKUP(CONCATENATE($C$2,$B69),'Base Calculation'!$A$5:$O$89,P$5+2,FALSE)/P69*100,"")</f>
      </c>
      <c r="Q70" s="42">
        <f>IF(Q69&gt;0,VLOOKUP(CONCATENATE($C$2,$B69),'Base Calculation'!$A$5:$O$89,Q$5+2,FALSE)/Q69*100,"")</f>
      </c>
      <c r="R70" s="42">
        <f>IF(R69&gt;0,VLOOKUP(CONCATENATE($C$2,$B69),'Base Calculation'!$A$5:$O$89,R$5+2,FALSE)/R69*100,"")</f>
      </c>
      <c r="S70" s="42">
        <f>IF(S69&gt;0,VLOOKUP(CONCATENATE($C$2,$B69),'Base Calculation'!$A$5:$O$89,S$5+2,FALSE)/S69*100,"")</f>
      </c>
      <c r="T70" s="83">
        <f>IF(T69&gt;0,VLOOKUP(CONCATENATE($C$2,$B69),'Base Calculation'!$A$5:$O$89,U69+2,FALSE)/T69*100,"")</f>
      </c>
      <c r="U70" s="89">
        <f>IF(U69&gt;0,VLOOKUP(U69,BF$2:BG$14,2,FALSE),"")</f>
      </c>
      <c r="V70" s="90">
        <f>V69</f>
        <v>0</v>
      </c>
      <c r="W70" s="4"/>
      <c r="AP70" s="25">
        <f>17-COUNTIF(D70:T70,"")</f>
        <v>1</v>
      </c>
      <c r="AQ70" t="str">
        <f>CONCATENATE($C$2,BB70)</f>
        <v>Male32</v>
      </c>
      <c r="AS70" s="25">
        <f>SUM(D70:H70)</f>
        <v>30.00770416024653</v>
      </c>
      <c r="AT70" s="25">
        <f>SUM(I70:M70)</f>
        <v>0</v>
      </c>
      <c r="AU70" s="25">
        <f>SUM(N70:S70)</f>
        <v>0</v>
      </c>
      <c r="AV70" s="25">
        <f>IF($AS70&gt;0,LARGE(D70:H70,1),0)</f>
        <v>30.00770416024653</v>
      </c>
      <c r="AW70" s="25">
        <f>IF($AT70&gt;0,LARGE(I70:M70,1),0)</f>
        <v>0</v>
      </c>
      <c r="AX70" s="25">
        <f>IF($AU70&gt;0,LARGE(N70:S70,1),0)</f>
        <v>0</v>
      </c>
      <c r="AY70" s="25">
        <f>IF('League Summary'!$X$2=1,T70,"")</f>
      </c>
      <c r="AZ70" s="25">
        <f>SUM(AV70:AY70)</f>
        <v>30.00770416024653</v>
      </c>
      <c r="BA70" t="str">
        <f>IF(AND(AV70&gt;0,AW70&gt;0,AX70&gt;0,(AP70&gt;=4)),"Q","NQ")</f>
        <v>NQ</v>
      </c>
      <c r="BB70">
        <f>IF(AZ70&gt;0,RANK(AZ70,AZ$8:AZ$86,0),"")</f>
        <v>32</v>
      </c>
      <c r="BC70" t="str">
        <f>A69</f>
        <v>Ian Evans</v>
      </c>
      <c r="BD70">
        <f t="shared" si="5"/>
        <v>30</v>
      </c>
      <c r="BN70">
        <f t="shared" si="6"/>
        <v>70</v>
      </c>
      <c r="BO70" s="108">
        <f t="shared" si="4"/>
      </c>
    </row>
    <row r="71" spans="1:70" ht="12.75">
      <c r="A71" s="192"/>
      <c r="B71" s="193"/>
      <c r="C71" s="194" t="s">
        <v>36</v>
      </c>
      <c r="D71" s="195">
        <v>0</v>
      </c>
      <c r="E71" s="195">
        <v>0</v>
      </c>
      <c r="F71" s="195">
        <v>0</v>
      </c>
      <c r="G71" s="195">
        <v>0</v>
      </c>
      <c r="H71" s="195">
        <v>0</v>
      </c>
      <c r="I71" s="195">
        <v>0</v>
      </c>
      <c r="J71" s="195">
        <v>0</v>
      </c>
      <c r="K71" s="195">
        <v>0</v>
      </c>
      <c r="L71" s="195">
        <v>0</v>
      </c>
      <c r="M71" s="195">
        <v>0</v>
      </c>
      <c r="N71" s="195">
        <v>0</v>
      </c>
      <c r="O71" s="195">
        <v>0</v>
      </c>
      <c r="P71" s="195">
        <v>0</v>
      </c>
      <c r="Q71" s="195">
        <v>0</v>
      </c>
      <c r="R71" s="195">
        <v>0</v>
      </c>
      <c r="S71" s="196">
        <v>0</v>
      </c>
      <c r="T71" s="196">
        <v>0</v>
      </c>
      <c r="U71" s="197"/>
      <c r="V71" s="198"/>
      <c r="W71" s="4"/>
      <c r="BD71">
        <f t="shared" si="5"/>
        <v>0</v>
      </c>
      <c r="BJ71">
        <f>IF(BO71&gt;0,"In","")</f>
      </c>
      <c r="BK71" s="41">
        <f>IF(BJ71="In",BO71,"")</f>
      </c>
      <c r="BL71">
        <f>IF(BJ71="In",RANK(BK71,BK$7:BK$86,1),"")</f>
      </c>
      <c r="BM71">
        <f>CONCATENATE(BJ71,BL71)</f>
      </c>
      <c r="BN71">
        <f t="shared" si="6"/>
        <v>71</v>
      </c>
      <c r="BO71" s="41">
        <f aca="true" t="shared" si="7" ref="BO71:BO86">HLOOKUP($BO$4,D$4:S$86,BN71-3,FALSE)</f>
        <v>0</v>
      </c>
      <c r="BP71">
        <f>BO72</f>
      </c>
      <c r="BQ71">
        <f>IF($BJ71="In",A71,"")</f>
      </c>
      <c r="BR71">
        <f>IF($BJ71="In",B71,"")</f>
      </c>
    </row>
    <row r="72" spans="1:67" ht="13.5" thickBot="1">
      <c r="A72" s="48" t="str">
        <f>CONCATENATE(A71,C72)</f>
        <v>Points</v>
      </c>
      <c r="B72" s="46"/>
      <c r="C72" s="47" t="s">
        <v>37</v>
      </c>
      <c r="D72" s="42">
        <f>IF(D71&gt;0,VLOOKUP(CONCATENATE($C$2,$B71),'Base Calculation'!$A$5:$O$89,D$5+2,FALSE)/D71*100,"")</f>
      </c>
      <c r="E72" s="42">
        <f>IF(E71&gt;0,VLOOKUP(CONCATENATE($C$2,$B71),'Base Calculation'!$A$5:$O$89,E$5+2,FALSE)/E71*100,"")</f>
      </c>
      <c r="F72" s="42">
        <f>IF(F71&gt;0,VLOOKUP(CONCATENATE($C$2,$B71),'Base Calculation'!$A$5:$O$89,F$5+2,FALSE)/F71*100,"")</f>
      </c>
      <c r="G72" s="42">
        <f>IF(G71&gt;0,VLOOKUP(CONCATENATE($C$2,$B71),'Base Calculation'!$A$5:$O$89,G$5+2,FALSE)/G71*100,"")</f>
      </c>
      <c r="H72" s="42">
        <f>IF(H71&gt;0,VLOOKUP(CONCATENATE($C$2,$B71),'Base Calculation'!$A$5:$O$89,H$5+2,FALSE)/H71*100,"")</f>
      </c>
      <c r="I72" s="42">
        <f>IF(I71&gt;0,VLOOKUP(CONCATENATE($C$2,$B71),'Base Calculation'!$A$5:$O$89,I$5+2,FALSE)/I71*100,"")</f>
      </c>
      <c r="J72" s="42">
        <f>IF(J71&gt;0,VLOOKUP(CONCATENATE($C$2,$B71),'Base Calculation'!$A$5:$O$89,J$5+2,FALSE)/J71*100,"")</f>
      </c>
      <c r="K72" s="42">
        <f>IF(K71&gt;0,VLOOKUP(CONCATENATE($C$2,$B71),'Base Calculation'!$A$5:$O$89,K$5+2,FALSE)/K71*100,"")</f>
      </c>
      <c r="L72" s="42">
        <f>IF(L71&gt;0,VLOOKUP(CONCATENATE($C$2,$B71),'Base Calculation'!$A$5:$O$89,L$5+2,FALSE)/L71*100,"")</f>
      </c>
      <c r="M72" s="42">
        <f>IF(M71&gt;0,VLOOKUP(CONCATENATE($C$2,$B71),'Base Calculation'!$A$5:$O$89,M$5+2,FALSE)/M71*100,"")</f>
      </c>
      <c r="N72" s="42">
        <f>IF(N71&gt;0,VLOOKUP(CONCATENATE($C$2,$B71),'Base Calculation'!$A$5:$O$89,N$5+2,FALSE)/N71*100,"")</f>
      </c>
      <c r="O72" s="42">
        <f>IF(O71&gt;0,VLOOKUP(CONCATENATE($C$2,$B71),'Base Calculation'!$A$5:$O$89,O$5+2,FALSE)/O71*100,"")</f>
      </c>
      <c r="P72" s="42">
        <f>IF(P71&gt;0,VLOOKUP(CONCATENATE($C$2,$B71),'Base Calculation'!$A$5:$O$89,P$5+2,FALSE)/P71*100,"")</f>
      </c>
      <c r="Q72" s="42">
        <f>IF(Q71&gt;0,VLOOKUP(CONCATENATE($C$2,$B71),'Base Calculation'!$A$5:$O$89,Q$5+2,FALSE)/Q71*100,"")</f>
      </c>
      <c r="R72" s="42">
        <f>IF(R71&gt;0,VLOOKUP(CONCATENATE($C$2,$B71),'Base Calculation'!$A$5:$O$89,R$5+2,FALSE)/R71*100,"")</f>
      </c>
      <c r="S72" s="42">
        <f>IF(S71&gt;0,VLOOKUP(CONCATENATE($C$2,$B71),'Base Calculation'!$A$5:$O$89,S$5+2,FALSE)/S71*100,"")</f>
      </c>
      <c r="T72" s="91">
        <f>IF(T71&gt;0,VLOOKUP(CONCATENATE($C$2,$B71),'Base Calculation'!$A$5:$O$89,U71+2,FALSE)/T71*100,"")</f>
      </c>
      <c r="U72" s="92">
        <f>IF(U71&gt;0,VLOOKUP(U71,BF$2:BG$14,2,FALSE),"")</f>
      </c>
      <c r="V72" s="93">
        <f>V71</f>
        <v>0</v>
      </c>
      <c r="W72" s="4"/>
      <c r="AP72" s="25">
        <f>17-COUNTIF(D72:T72,"")</f>
        <v>0</v>
      </c>
      <c r="AQ72" t="str">
        <f>CONCATENATE($C$2,BB72)</f>
        <v>Male</v>
      </c>
      <c r="AS72" s="25">
        <f>SUM(D72:H72)</f>
        <v>0</v>
      </c>
      <c r="AT72" s="25">
        <f>SUM(I72:M72)</f>
        <v>0</v>
      </c>
      <c r="AU72" s="25">
        <f>SUM(N72:S72)</f>
        <v>0</v>
      </c>
      <c r="AV72" s="25">
        <f>IF($AS72&gt;0,LARGE(D72:H72,1),0)</f>
        <v>0</v>
      </c>
      <c r="AW72" s="25">
        <f>IF($AT72&gt;0,LARGE(I72:M72,1),0)</f>
        <v>0</v>
      </c>
      <c r="AX72" s="25">
        <f>IF($AU72&gt;0,LARGE(N72:S72,1),0)</f>
        <v>0</v>
      </c>
      <c r="AY72" s="25">
        <f>IF('League Summary'!$X$2=1,T72,"")</f>
      </c>
      <c r="AZ72" s="25">
        <f>SUM(AV72:AY72)</f>
        <v>0</v>
      </c>
      <c r="BA72" t="str">
        <f>IF(AND(AV72&gt;0,AW72&gt;0,AX72&gt;0,(AP72&gt;=4)),"Q","NQ")</f>
        <v>NQ</v>
      </c>
      <c r="BB72">
        <f>IF(AZ72&gt;0,RANK(AZ72,AZ$8:AZ$86,0),"")</f>
      </c>
      <c r="BC72">
        <f>A71</f>
        <v>0</v>
      </c>
      <c r="BD72">
        <f t="shared" si="5"/>
        <v>0</v>
      </c>
      <c r="BN72">
        <f t="shared" si="6"/>
        <v>72</v>
      </c>
      <c r="BO72" s="108">
        <f t="shared" si="7"/>
      </c>
    </row>
    <row r="73" spans="1:70" ht="12.75">
      <c r="A73" s="192"/>
      <c r="B73" s="193"/>
      <c r="C73" s="194" t="s">
        <v>36</v>
      </c>
      <c r="D73" s="195">
        <v>0</v>
      </c>
      <c r="E73" s="195">
        <v>0</v>
      </c>
      <c r="F73" s="195">
        <v>0</v>
      </c>
      <c r="G73" s="195">
        <v>0</v>
      </c>
      <c r="H73" s="195">
        <v>0</v>
      </c>
      <c r="I73" s="195">
        <v>0</v>
      </c>
      <c r="J73" s="195">
        <v>0</v>
      </c>
      <c r="K73" s="195">
        <v>0</v>
      </c>
      <c r="L73" s="195">
        <v>0</v>
      </c>
      <c r="M73" s="195">
        <v>0</v>
      </c>
      <c r="N73" s="195">
        <v>0</v>
      </c>
      <c r="O73" s="195">
        <v>0</v>
      </c>
      <c r="P73" s="195">
        <v>0</v>
      </c>
      <c r="Q73" s="195">
        <v>0</v>
      </c>
      <c r="R73" s="195">
        <v>0</v>
      </c>
      <c r="S73" s="196">
        <v>0</v>
      </c>
      <c r="T73" s="196">
        <v>0</v>
      </c>
      <c r="U73" s="197"/>
      <c r="V73" s="198"/>
      <c r="W73" s="4"/>
      <c r="BD73">
        <f t="shared" si="5"/>
        <v>0</v>
      </c>
      <c r="BJ73">
        <f>IF(BO73&gt;0,"In","")</f>
      </c>
      <c r="BK73" s="41">
        <f>IF(BJ73="In",BO73,"")</f>
      </c>
      <c r="BL73">
        <f>IF(BJ73="In",RANK(BK73,BK$7:BK$86,1),"")</f>
      </c>
      <c r="BM73">
        <f>CONCATENATE(BJ73,BL73)</f>
      </c>
      <c r="BN73">
        <f t="shared" si="6"/>
        <v>73</v>
      </c>
      <c r="BO73" s="41">
        <f t="shared" si="7"/>
        <v>0</v>
      </c>
      <c r="BP73">
        <f>BO74</f>
      </c>
      <c r="BQ73">
        <f>IF($BJ73="In",A73,"")</f>
      </c>
      <c r="BR73">
        <f>IF($BJ73="In",B73,"")</f>
      </c>
    </row>
    <row r="74" spans="1:67" ht="13.5" thickBot="1">
      <c r="A74" s="48" t="str">
        <f>CONCATENATE(A73,C74)</f>
        <v>Points</v>
      </c>
      <c r="B74" s="46"/>
      <c r="C74" s="47" t="s">
        <v>37</v>
      </c>
      <c r="D74" s="42">
        <f>IF(D73&gt;0,VLOOKUP(CONCATENATE($C$2,$B73),'Base Calculation'!$A$5:$O$89,D$5+2,FALSE)/D73*100,"")</f>
      </c>
      <c r="E74" s="42">
        <f>IF(E73&gt;0,VLOOKUP(CONCATENATE($C$2,$B73),'Base Calculation'!$A$5:$O$89,E$5+2,FALSE)/E73*100,"")</f>
      </c>
      <c r="F74" s="42">
        <f>IF(F73&gt;0,VLOOKUP(CONCATENATE($C$2,$B73),'Base Calculation'!$A$5:$O$89,F$5+2,FALSE)/F73*100,"")</f>
      </c>
      <c r="G74" s="42">
        <f>IF(G73&gt;0,VLOOKUP(CONCATENATE($C$2,$B73),'Base Calculation'!$A$5:$O$89,G$5+2,FALSE)/G73*100,"")</f>
      </c>
      <c r="H74" s="42">
        <f>IF(H73&gt;0,VLOOKUP(CONCATENATE($C$2,$B73),'Base Calculation'!$A$5:$O$89,H$5+2,FALSE)/H73*100,"")</f>
      </c>
      <c r="I74" s="42">
        <f>IF(I73&gt;0,VLOOKUP(CONCATENATE($C$2,$B73),'Base Calculation'!$A$5:$O$89,I$5+2,FALSE)/I73*100,"")</f>
      </c>
      <c r="J74" s="42">
        <f>IF(J73&gt;0,VLOOKUP(CONCATENATE($C$2,$B73),'Base Calculation'!$A$5:$O$89,J$5+2,FALSE)/J73*100,"")</f>
      </c>
      <c r="K74" s="42">
        <f>IF(K73&gt;0,VLOOKUP(CONCATENATE($C$2,$B73),'Base Calculation'!$A$5:$O$89,K$5+2,FALSE)/K73*100,"")</f>
      </c>
      <c r="L74" s="42">
        <f>IF(L73&gt;0,VLOOKUP(CONCATENATE($C$2,$B73),'Base Calculation'!$A$5:$O$89,L$5+2,FALSE)/L73*100,"")</f>
      </c>
      <c r="M74" s="42">
        <f>IF(M73&gt;0,VLOOKUP(CONCATENATE($C$2,$B73),'Base Calculation'!$A$5:$O$89,M$5+2,FALSE)/M73*100,"")</f>
      </c>
      <c r="N74" s="42">
        <f>IF(N73&gt;0,VLOOKUP(CONCATENATE($C$2,$B73),'Base Calculation'!$A$5:$O$89,N$5+2,FALSE)/N73*100,"")</f>
      </c>
      <c r="O74" s="42">
        <f>IF(O73&gt;0,VLOOKUP(CONCATENATE($C$2,$B73),'Base Calculation'!$A$5:$O$89,O$5+2,FALSE)/O73*100,"")</f>
      </c>
      <c r="P74" s="42">
        <f>IF(P73&gt;0,VLOOKUP(CONCATENATE($C$2,$B73),'Base Calculation'!$A$5:$O$89,P$5+2,FALSE)/P73*100,"")</f>
      </c>
      <c r="Q74" s="42">
        <f>IF(Q73&gt;0,VLOOKUP(CONCATENATE($C$2,$B73),'Base Calculation'!$A$5:$O$89,Q$5+2,FALSE)/Q73*100,"")</f>
      </c>
      <c r="R74" s="42">
        <f>IF(R73&gt;0,VLOOKUP(CONCATENATE($C$2,$B73),'Base Calculation'!$A$5:$O$89,R$5+2,FALSE)/R73*100,"")</f>
      </c>
      <c r="S74" s="42">
        <f>IF(S73&gt;0,VLOOKUP(CONCATENATE($C$2,$B73),'Base Calculation'!$A$5:$O$89,S$5+2,FALSE)/S73*100,"")</f>
      </c>
      <c r="T74" s="83">
        <f>IF(T73&gt;0,VLOOKUP(CONCATENATE($C$2,$B73),'Base Calculation'!$A$5:$O$89,U73+2,FALSE)/T73*100,"")</f>
      </c>
      <c r="U74" s="89">
        <f>IF(U73&gt;0,VLOOKUP(U73,BF$2:BG$14,2,FALSE),"")</f>
      </c>
      <c r="V74" s="90">
        <f>V73</f>
        <v>0</v>
      </c>
      <c r="W74" s="4"/>
      <c r="AP74" s="25">
        <f>17-COUNTIF(D74:T74,"")</f>
        <v>0</v>
      </c>
      <c r="AQ74" t="str">
        <f>CONCATENATE($C$2,BB74)</f>
        <v>Male</v>
      </c>
      <c r="AS74" s="25">
        <f>SUM(D74:H74)</f>
        <v>0</v>
      </c>
      <c r="AT74" s="25">
        <f>SUM(I74:M74)</f>
        <v>0</v>
      </c>
      <c r="AU74" s="25">
        <f>SUM(N74:S74)</f>
        <v>0</v>
      </c>
      <c r="AV74" s="25">
        <f>IF($AS74&gt;0,LARGE(D74:H74,1),0)</f>
        <v>0</v>
      </c>
      <c r="AW74" s="25">
        <f>IF($AT74&gt;0,LARGE(I74:M74,1),0)</f>
        <v>0</v>
      </c>
      <c r="AX74" s="25">
        <f>IF($AU74&gt;0,LARGE(N74:S74,1),0)</f>
        <v>0</v>
      </c>
      <c r="AY74" s="25">
        <f>IF('League Summary'!$X$2=1,T74,"")</f>
      </c>
      <c r="AZ74" s="25">
        <f>SUM(AV74:AY74)</f>
        <v>0</v>
      </c>
      <c r="BA74" t="str">
        <f>IF(AND(AV74&gt;0,AW74&gt;0,AX74&gt;0,(AP74&gt;=4)),"Q","NQ")</f>
        <v>NQ</v>
      </c>
      <c r="BB74">
        <f>IF(AZ74&gt;0,RANK(AZ74,AZ$8:AZ$86,0),"")</f>
      </c>
      <c r="BC74">
        <f>A73</f>
        <v>0</v>
      </c>
      <c r="BD74">
        <f t="shared" si="5"/>
        <v>0</v>
      </c>
      <c r="BN74">
        <f t="shared" si="6"/>
        <v>74</v>
      </c>
      <c r="BO74" s="108">
        <f t="shared" si="7"/>
      </c>
    </row>
    <row r="75" spans="1:70" ht="12.75">
      <c r="A75" s="192"/>
      <c r="B75" s="193"/>
      <c r="C75" s="194" t="s">
        <v>36</v>
      </c>
      <c r="D75" s="195">
        <v>0</v>
      </c>
      <c r="E75" s="195">
        <v>0</v>
      </c>
      <c r="F75" s="195">
        <v>0</v>
      </c>
      <c r="G75" s="195">
        <v>0</v>
      </c>
      <c r="H75" s="195">
        <v>0</v>
      </c>
      <c r="I75" s="195">
        <v>0</v>
      </c>
      <c r="J75" s="195">
        <v>0</v>
      </c>
      <c r="K75" s="195">
        <v>0</v>
      </c>
      <c r="L75" s="195">
        <v>0</v>
      </c>
      <c r="M75" s="195">
        <v>0</v>
      </c>
      <c r="N75" s="195">
        <v>0</v>
      </c>
      <c r="O75" s="195">
        <v>0</v>
      </c>
      <c r="P75" s="195">
        <v>0</v>
      </c>
      <c r="Q75" s="195">
        <v>0</v>
      </c>
      <c r="R75" s="195">
        <v>0</v>
      </c>
      <c r="S75" s="196">
        <v>0</v>
      </c>
      <c r="T75" s="196">
        <v>0</v>
      </c>
      <c r="U75" s="197"/>
      <c r="V75" s="198"/>
      <c r="W75" s="4"/>
      <c r="BD75">
        <f t="shared" si="5"/>
        <v>0</v>
      </c>
      <c r="BJ75">
        <f>IF(BO75&gt;0,"In","")</f>
      </c>
      <c r="BK75" s="41">
        <f>IF(BJ75="In",BO75,"")</f>
      </c>
      <c r="BL75">
        <f>IF(BJ75="In",RANK(BK75,BK$7:BK$86,1),"")</f>
      </c>
      <c r="BM75">
        <f>CONCATENATE(BJ75,BL75)</f>
      </c>
      <c r="BN75">
        <f t="shared" si="6"/>
        <v>75</v>
      </c>
      <c r="BO75" s="41">
        <f t="shared" si="7"/>
        <v>0</v>
      </c>
      <c r="BP75">
        <f>BO76</f>
      </c>
      <c r="BQ75">
        <f>IF($BJ75="In",A75,"")</f>
      </c>
      <c r="BR75">
        <f>IF($BJ75="In",B75,"")</f>
      </c>
    </row>
    <row r="76" spans="1:67" ht="13.5" thickBot="1">
      <c r="A76" s="48" t="str">
        <f>CONCATENATE(A75,C76)</f>
        <v>Points</v>
      </c>
      <c r="B76" s="46"/>
      <c r="C76" s="47" t="s">
        <v>37</v>
      </c>
      <c r="D76" s="42">
        <f>IF(D75&gt;0,VLOOKUP(CONCATENATE($C$2,$B75),'Base Calculation'!$A$5:$O$89,D$5+2,FALSE)/D75*100,"")</f>
      </c>
      <c r="E76" s="42">
        <f>IF(E75&gt;0,VLOOKUP(CONCATENATE($C$2,$B75),'Base Calculation'!$A$5:$O$89,E$5+2,FALSE)/E75*100,"")</f>
      </c>
      <c r="F76" s="42">
        <f>IF(F75&gt;0,VLOOKUP(CONCATENATE($C$2,$B75),'Base Calculation'!$A$5:$O$89,F$5+2,FALSE)/F75*100,"")</f>
      </c>
      <c r="G76" s="42">
        <f>IF(G75&gt;0,VLOOKUP(CONCATENATE($C$2,$B75),'Base Calculation'!$A$5:$O$89,G$5+2,FALSE)/G75*100,"")</f>
      </c>
      <c r="H76" s="42">
        <f>IF(H75&gt;0,VLOOKUP(CONCATENATE($C$2,$B75),'Base Calculation'!$A$5:$O$89,H$5+2,FALSE)/H75*100,"")</f>
      </c>
      <c r="I76" s="42">
        <f>IF(I75&gt;0,VLOOKUP(CONCATENATE($C$2,$B75),'Base Calculation'!$A$5:$O$89,I$5+2,FALSE)/I75*100,"")</f>
      </c>
      <c r="J76" s="42">
        <f>IF(J75&gt;0,VLOOKUP(CONCATENATE($C$2,$B75),'Base Calculation'!$A$5:$O$89,J$5+2,FALSE)/J75*100,"")</f>
      </c>
      <c r="K76" s="42">
        <f>IF(K75&gt;0,VLOOKUP(CONCATENATE($C$2,$B75),'Base Calculation'!$A$5:$O$89,K$5+2,FALSE)/K75*100,"")</f>
      </c>
      <c r="L76" s="42">
        <f>IF(L75&gt;0,VLOOKUP(CONCATENATE($C$2,$B75),'Base Calculation'!$A$5:$O$89,L$5+2,FALSE)/L75*100,"")</f>
      </c>
      <c r="M76" s="42">
        <f>IF(M75&gt;0,VLOOKUP(CONCATENATE($C$2,$B75),'Base Calculation'!$A$5:$O$89,M$5+2,FALSE)/M75*100,"")</f>
      </c>
      <c r="N76" s="42">
        <f>IF(N75&gt;0,VLOOKUP(CONCATENATE($C$2,$B75),'Base Calculation'!$A$5:$O$89,N$5+2,FALSE)/N75*100,"")</f>
      </c>
      <c r="O76" s="42">
        <f>IF(O75&gt;0,VLOOKUP(CONCATENATE($C$2,$B75),'Base Calculation'!$A$5:$O$89,O$5+2,FALSE)/O75*100,"")</f>
      </c>
      <c r="P76" s="42">
        <f>IF(P75&gt;0,VLOOKUP(CONCATENATE($C$2,$B75),'Base Calculation'!$A$5:$O$89,P$5+2,FALSE)/P75*100,"")</f>
      </c>
      <c r="Q76" s="42">
        <f>IF(Q75&gt;0,VLOOKUP(CONCATENATE($C$2,$B75),'Base Calculation'!$A$5:$O$89,Q$5+2,FALSE)/Q75*100,"")</f>
      </c>
      <c r="R76" s="42">
        <f>IF(R75&gt;0,VLOOKUP(CONCATENATE($C$2,$B75),'Base Calculation'!$A$5:$O$89,R$5+2,FALSE)/R75*100,"")</f>
      </c>
      <c r="S76" s="42">
        <f>IF(S75&gt;0,VLOOKUP(CONCATENATE($C$2,$B75),'Base Calculation'!$A$5:$O$89,S$5+2,FALSE)/S75*100,"")</f>
      </c>
      <c r="T76" s="91">
        <f>IF(T75&gt;0,VLOOKUP(CONCATENATE($C$2,$B75),'Base Calculation'!$A$5:$O$89,U75+2,FALSE)/T75*100,"")</f>
      </c>
      <c r="U76" s="92">
        <f>IF(U75&gt;0,VLOOKUP(U75,BF$2:BG$14,2,FALSE),"")</f>
      </c>
      <c r="V76" s="93">
        <f>V75</f>
        <v>0</v>
      </c>
      <c r="W76" s="4"/>
      <c r="AP76" s="25">
        <f>17-COUNTIF(D76:T76,"")</f>
        <v>0</v>
      </c>
      <c r="AQ76" t="str">
        <f>CONCATENATE($C$2,BB76)</f>
        <v>Male</v>
      </c>
      <c r="AS76" s="25">
        <f>SUM(D76:H76)</f>
        <v>0</v>
      </c>
      <c r="AT76" s="25">
        <f>SUM(I76:M76)</f>
        <v>0</v>
      </c>
      <c r="AU76" s="25">
        <f>SUM(N76:S76)</f>
        <v>0</v>
      </c>
      <c r="AV76" s="25">
        <f>IF($AS76&gt;0,LARGE(D76:H76,1),0)</f>
        <v>0</v>
      </c>
      <c r="AW76" s="25">
        <f>IF($AT76&gt;0,LARGE(I76:M76,1),0)</f>
        <v>0</v>
      </c>
      <c r="AX76" s="25">
        <f>IF($AU76&gt;0,LARGE(N76:S76,1),0)</f>
        <v>0</v>
      </c>
      <c r="AY76" s="25">
        <f>IF('League Summary'!$X$2=1,T76,"")</f>
      </c>
      <c r="AZ76" s="25">
        <f>SUM(AV76:AY76)</f>
        <v>0</v>
      </c>
      <c r="BA76" t="str">
        <f>IF(AND(AV76&gt;0,AW76&gt;0,AX76&gt;0,(AP76&gt;=4)),"Q","NQ")</f>
        <v>NQ</v>
      </c>
      <c r="BB76">
        <f>IF(AZ76&gt;0,RANK(AZ76,AZ$8:AZ$86,0),"")</f>
      </c>
      <c r="BC76">
        <f>A75</f>
        <v>0</v>
      </c>
      <c r="BD76">
        <f t="shared" si="5"/>
        <v>0</v>
      </c>
      <c r="BN76">
        <f t="shared" si="6"/>
        <v>76</v>
      </c>
      <c r="BO76" s="108">
        <f t="shared" si="7"/>
      </c>
    </row>
    <row r="77" spans="1:70" ht="12.75">
      <c r="A77" s="192"/>
      <c r="B77" s="193"/>
      <c r="C77" s="194" t="s">
        <v>36</v>
      </c>
      <c r="D77" s="195">
        <v>0</v>
      </c>
      <c r="E77" s="195">
        <v>0</v>
      </c>
      <c r="F77" s="195">
        <v>0</v>
      </c>
      <c r="G77" s="195">
        <v>0</v>
      </c>
      <c r="H77" s="195">
        <v>0</v>
      </c>
      <c r="I77" s="195">
        <v>0</v>
      </c>
      <c r="J77" s="195">
        <v>0</v>
      </c>
      <c r="K77" s="195">
        <v>0</v>
      </c>
      <c r="L77" s="195">
        <v>0</v>
      </c>
      <c r="M77" s="195">
        <v>0</v>
      </c>
      <c r="N77" s="195">
        <v>0</v>
      </c>
      <c r="O77" s="195">
        <v>0</v>
      </c>
      <c r="P77" s="195">
        <v>0</v>
      </c>
      <c r="Q77" s="195">
        <v>0</v>
      </c>
      <c r="R77" s="195">
        <v>0</v>
      </c>
      <c r="S77" s="196">
        <v>0</v>
      </c>
      <c r="T77" s="196">
        <v>0</v>
      </c>
      <c r="U77" s="197"/>
      <c r="V77" s="198"/>
      <c r="W77" s="4"/>
      <c r="BD77">
        <f t="shared" si="5"/>
        <v>0</v>
      </c>
      <c r="BJ77">
        <f>IF(BO77&gt;0,"In","")</f>
      </c>
      <c r="BK77" s="41">
        <f>IF(BJ77="In",BO77,"")</f>
      </c>
      <c r="BL77">
        <f>IF(BJ77="In",RANK(BK77,BK$7:BK$86,1),"")</f>
      </c>
      <c r="BM77">
        <f>CONCATENATE(BJ77,BL77)</f>
      </c>
      <c r="BN77">
        <f t="shared" si="6"/>
        <v>77</v>
      </c>
      <c r="BO77" s="41">
        <f t="shared" si="7"/>
        <v>0</v>
      </c>
      <c r="BP77">
        <f>BO78</f>
      </c>
      <c r="BQ77">
        <f>IF($BJ77="In",A77,"")</f>
      </c>
      <c r="BR77">
        <f>IF($BJ77="In",B77,"")</f>
      </c>
    </row>
    <row r="78" spans="1:67" ht="13.5" thickBot="1">
      <c r="A78" s="48" t="str">
        <f>CONCATENATE(A77,C78)</f>
        <v>Points</v>
      </c>
      <c r="B78" s="46"/>
      <c r="C78" s="47" t="s">
        <v>37</v>
      </c>
      <c r="D78" s="42">
        <f>IF(D77&gt;0,VLOOKUP(CONCATENATE($C$2,$B77),'Base Calculation'!$A$5:$O$89,D$5+2,FALSE)/D77*100,"")</f>
      </c>
      <c r="E78" s="42">
        <f>IF(E77&gt;0,VLOOKUP(CONCATENATE($C$2,$B77),'Base Calculation'!$A$5:$O$89,E$5+2,FALSE)/E77*100,"")</f>
      </c>
      <c r="F78" s="42">
        <f>IF(F77&gt;0,VLOOKUP(CONCATENATE($C$2,$B77),'Base Calculation'!$A$5:$O$89,F$5+2,FALSE)/F77*100,"")</f>
      </c>
      <c r="G78" s="42">
        <f>IF(G77&gt;0,VLOOKUP(CONCATENATE($C$2,$B77),'Base Calculation'!$A$5:$O$89,G$5+2,FALSE)/G77*100,"")</f>
      </c>
      <c r="H78" s="42">
        <f>IF(H77&gt;0,VLOOKUP(CONCATENATE($C$2,$B77),'Base Calculation'!$A$5:$O$89,H$5+2,FALSE)/H77*100,"")</f>
      </c>
      <c r="I78" s="42">
        <f>IF(I77&gt;0,VLOOKUP(CONCATENATE($C$2,$B77),'Base Calculation'!$A$5:$O$89,I$5+2,FALSE)/I77*100,"")</f>
      </c>
      <c r="J78" s="42">
        <f>IF(J77&gt;0,VLOOKUP(CONCATENATE($C$2,$B77),'Base Calculation'!$A$5:$O$89,J$5+2,FALSE)/J77*100,"")</f>
      </c>
      <c r="K78" s="42">
        <f>IF(K77&gt;0,VLOOKUP(CONCATENATE($C$2,$B77),'Base Calculation'!$A$5:$O$89,K$5+2,FALSE)/K77*100,"")</f>
      </c>
      <c r="L78" s="42">
        <f>IF(L77&gt;0,VLOOKUP(CONCATENATE($C$2,$B77),'Base Calculation'!$A$5:$O$89,L$5+2,FALSE)/L77*100,"")</f>
      </c>
      <c r="M78" s="42">
        <f>IF(M77&gt;0,VLOOKUP(CONCATENATE($C$2,$B77),'Base Calculation'!$A$5:$O$89,M$5+2,FALSE)/M77*100,"")</f>
      </c>
      <c r="N78" s="42">
        <f>IF(N77&gt;0,VLOOKUP(CONCATENATE($C$2,$B77),'Base Calculation'!$A$5:$O$89,N$5+2,FALSE)/N77*100,"")</f>
      </c>
      <c r="O78" s="42">
        <f>IF(O77&gt;0,VLOOKUP(CONCATENATE($C$2,$B77),'Base Calculation'!$A$5:$O$89,O$5+2,FALSE)/O77*100,"")</f>
      </c>
      <c r="P78" s="42">
        <f>IF(P77&gt;0,VLOOKUP(CONCATENATE($C$2,$B77),'Base Calculation'!$A$5:$O$89,P$5+2,FALSE)/P77*100,"")</f>
      </c>
      <c r="Q78" s="42">
        <f>IF(Q77&gt;0,VLOOKUP(CONCATENATE($C$2,$B77),'Base Calculation'!$A$5:$O$89,Q$5+2,FALSE)/Q77*100,"")</f>
      </c>
      <c r="R78" s="42">
        <f>IF(R77&gt;0,VLOOKUP(CONCATENATE($C$2,$B77),'Base Calculation'!$A$5:$O$89,R$5+2,FALSE)/R77*100,"")</f>
      </c>
      <c r="S78" s="42">
        <f>IF(S77&gt;0,VLOOKUP(CONCATENATE($C$2,$B77),'Base Calculation'!$A$5:$O$89,S$5+2,FALSE)/S77*100,"")</f>
      </c>
      <c r="T78" s="83">
        <f>IF(T77&gt;0,VLOOKUP(CONCATENATE($C$2,$B77),'Base Calculation'!$A$5:$O$89,U77+2,FALSE)/T77*100,"")</f>
      </c>
      <c r="U78" s="89">
        <f>IF(U77&gt;0,VLOOKUP(U77,BF$2:BG$14,2,FALSE),"")</f>
      </c>
      <c r="V78" s="90">
        <f>V77</f>
        <v>0</v>
      </c>
      <c r="W78" s="4"/>
      <c r="AP78" s="25">
        <f>17-COUNTIF(D78:T78,"")</f>
        <v>0</v>
      </c>
      <c r="AQ78" t="str">
        <f>CONCATENATE($C$2,BB78)</f>
        <v>Male</v>
      </c>
      <c r="AS78" s="25">
        <f>SUM(D78:H78)</f>
        <v>0</v>
      </c>
      <c r="AT78" s="25">
        <f>SUM(I78:M78)</f>
        <v>0</v>
      </c>
      <c r="AU78" s="25">
        <f>SUM(N78:S78)</f>
        <v>0</v>
      </c>
      <c r="AV78" s="25">
        <f>IF($AS78&gt;0,LARGE(D78:H78,1),0)</f>
        <v>0</v>
      </c>
      <c r="AW78" s="25">
        <f>IF($AT78&gt;0,LARGE(I78:M78,1),0)</f>
        <v>0</v>
      </c>
      <c r="AX78" s="25">
        <f>IF($AU78&gt;0,LARGE(N78:S78,1),0)</f>
        <v>0</v>
      </c>
      <c r="AY78" s="25">
        <f>IF('League Summary'!$X$2=1,T78,"")</f>
      </c>
      <c r="AZ78" s="25">
        <f>SUM(AV78:AY78)</f>
        <v>0</v>
      </c>
      <c r="BA78" t="str">
        <f>IF(AND(AV78&gt;0,AW78&gt;0,AX78&gt;0,(AP78&gt;=4)),"Q","NQ")</f>
        <v>NQ</v>
      </c>
      <c r="BB78">
        <f>IF(AZ78&gt;0,RANK(AZ78,AZ$8:AZ$86,0),"")</f>
      </c>
      <c r="BC78">
        <f>A77</f>
        <v>0</v>
      </c>
      <c r="BD78">
        <f t="shared" si="5"/>
        <v>0</v>
      </c>
      <c r="BN78">
        <f t="shared" si="6"/>
        <v>78</v>
      </c>
      <c r="BO78" s="108">
        <f t="shared" si="7"/>
      </c>
    </row>
    <row r="79" spans="1:70" ht="12.75">
      <c r="A79" s="192"/>
      <c r="B79" s="193"/>
      <c r="C79" s="194" t="s">
        <v>36</v>
      </c>
      <c r="D79" s="195">
        <v>0</v>
      </c>
      <c r="E79" s="195">
        <v>0</v>
      </c>
      <c r="F79" s="195">
        <v>0</v>
      </c>
      <c r="G79" s="195">
        <v>0</v>
      </c>
      <c r="H79" s="195">
        <v>0</v>
      </c>
      <c r="I79" s="195">
        <v>0</v>
      </c>
      <c r="J79" s="195">
        <v>0</v>
      </c>
      <c r="K79" s="195">
        <v>0</v>
      </c>
      <c r="L79" s="195">
        <v>0</v>
      </c>
      <c r="M79" s="195">
        <v>0</v>
      </c>
      <c r="N79" s="195">
        <v>0</v>
      </c>
      <c r="O79" s="195">
        <v>0</v>
      </c>
      <c r="P79" s="195">
        <v>0</v>
      </c>
      <c r="Q79" s="195">
        <v>0</v>
      </c>
      <c r="R79" s="195">
        <v>0</v>
      </c>
      <c r="S79" s="196">
        <v>0</v>
      </c>
      <c r="T79" s="196">
        <v>0</v>
      </c>
      <c r="U79" s="197"/>
      <c r="V79" s="198"/>
      <c r="W79" s="4"/>
      <c r="BD79">
        <f t="shared" si="5"/>
        <v>0</v>
      </c>
      <c r="BJ79">
        <f>IF(BO79&gt;0,"In","")</f>
      </c>
      <c r="BK79" s="41">
        <f>IF(BJ79="In",BO79,"")</f>
      </c>
      <c r="BL79">
        <f>IF(BJ79="In",RANK(BK79,BK$7:BK$86,1),"")</f>
      </c>
      <c r="BM79">
        <f>CONCATENATE(BJ79,BL79)</f>
      </c>
      <c r="BN79">
        <f t="shared" si="6"/>
        <v>79</v>
      </c>
      <c r="BO79" s="41">
        <f t="shared" si="7"/>
        <v>0</v>
      </c>
      <c r="BP79">
        <f>BO80</f>
      </c>
      <c r="BQ79">
        <f>IF($BJ79="In",A79,"")</f>
      </c>
      <c r="BR79">
        <f>IF($BJ79="In",B79,"")</f>
      </c>
    </row>
    <row r="80" spans="1:67" ht="13.5" thickBot="1">
      <c r="A80" s="48" t="str">
        <f>CONCATENATE(A79,C80)</f>
        <v>Points</v>
      </c>
      <c r="B80" s="46"/>
      <c r="C80" s="47" t="s">
        <v>37</v>
      </c>
      <c r="D80" s="42">
        <f>IF(D79&gt;0,VLOOKUP(CONCATENATE($C$2,$B79),'Base Calculation'!$A$5:$O$89,D$5+2,FALSE)/D79*100,"")</f>
      </c>
      <c r="E80" s="42">
        <f>IF(E79&gt;0,VLOOKUP(CONCATENATE($C$2,$B79),'Base Calculation'!$A$5:$O$89,E$5+2,FALSE)/E79*100,"")</f>
      </c>
      <c r="F80" s="42">
        <f>IF(F79&gt;0,VLOOKUP(CONCATENATE($C$2,$B79),'Base Calculation'!$A$5:$O$89,F$5+2,FALSE)/F79*100,"")</f>
      </c>
      <c r="G80" s="42">
        <f>IF(G79&gt;0,VLOOKUP(CONCATENATE($C$2,$B79),'Base Calculation'!$A$5:$O$89,G$5+2,FALSE)/G79*100,"")</f>
      </c>
      <c r="H80" s="42">
        <f>IF(H79&gt;0,VLOOKUP(CONCATENATE($C$2,$B79),'Base Calculation'!$A$5:$O$89,H$5+2,FALSE)/H79*100,"")</f>
      </c>
      <c r="I80" s="42">
        <f>IF(I79&gt;0,VLOOKUP(CONCATENATE($C$2,$B79),'Base Calculation'!$A$5:$O$89,I$5+2,FALSE)/I79*100,"")</f>
      </c>
      <c r="J80" s="42">
        <f>IF(J79&gt;0,VLOOKUP(CONCATENATE($C$2,$B79),'Base Calculation'!$A$5:$O$89,J$5+2,FALSE)/J79*100,"")</f>
      </c>
      <c r="K80" s="42">
        <f>IF(K79&gt;0,VLOOKUP(CONCATENATE($C$2,$B79),'Base Calculation'!$A$5:$O$89,K$5+2,FALSE)/K79*100,"")</f>
      </c>
      <c r="L80" s="42">
        <f>IF(L79&gt;0,VLOOKUP(CONCATENATE($C$2,$B79),'Base Calculation'!$A$5:$O$89,L$5+2,FALSE)/L79*100,"")</f>
      </c>
      <c r="M80" s="42">
        <f>IF(M79&gt;0,VLOOKUP(CONCATENATE($C$2,$B79),'Base Calculation'!$A$5:$O$89,M$5+2,FALSE)/M79*100,"")</f>
      </c>
      <c r="N80" s="42">
        <f>IF(N79&gt;0,VLOOKUP(CONCATENATE($C$2,$B79),'Base Calculation'!$A$5:$O$89,N$5+2,FALSE)/N79*100,"")</f>
      </c>
      <c r="O80" s="42">
        <f>IF(O79&gt;0,VLOOKUP(CONCATENATE($C$2,$B79),'Base Calculation'!$A$5:$O$89,O$5+2,FALSE)/O79*100,"")</f>
      </c>
      <c r="P80" s="42">
        <f>IF(P79&gt;0,VLOOKUP(CONCATENATE($C$2,$B79),'Base Calculation'!$A$5:$O$89,P$5+2,FALSE)/P79*100,"")</f>
      </c>
      <c r="Q80" s="42">
        <f>IF(Q79&gt;0,VLOOKUP(CONCATENATE($C$2,$B79),'Base Calculation'!$A$5:$O$89,Q$5+2,FALSE)/Q79*100,"")</f>
      </c>
      <c r="R80" s="42">
        <f>IF(R79&gt;0,VLOOKUP(CONCATENATE($C$2,$B79),'Base Calculation'!$A$5:$O$89,R$5+2,FALSE)/R79*100,"")</f>
      </c>
      <c r="S80" s="42">
        <f>IF(S79&gt;0,VLOOKUP(CONCATENATE($C$2,$B79),'Base Calculation'!$A$5:$O$89,S$5+2,FALSE)/S79*100,"")</f>
      </c>
      <c r="T80" s="91">
        <f>IF(T79&gt;0,VLOOKUP(CONCATENATE($C$2,$B79),'Base Calculation'!$A$5:$O$89,U79+2,FALSE)/T79*100,"")</f>
      </c>
      <c r="U80" s="92">
        <f>IF(U79&gt;0,VLOOKUP(U79,BF$2:BG$14,2,FALSE),"")</f>
      </c>
      <c r="V80" s="93">
        <f>V79</f>
        <v>0</v>
      </c>
      <c r="W80" s="4"/>
      <c r="AP80" s="25">
        <f>17-COUNTIF(D80:T80,"")</f>
        <v>0</v>
      </c>
      <c r="AQ80" t="str">
        <f>CONCATENATE($C$2,BB80)</f>
        <v>Male</v>
      </c>
      <c r="AS80" s="25">
        <f>SUM(D80:H80)</f>
        <v>0</v>
      </c>
      <c r="AT80" s="25">
        <f>SUM(I80:M80)</f>
        <v>0</v>
      </c>
      <c r="AU80" s="25">
        <f>SUM(N80:S80)</f>
        <v>0</v>
      </c>
      <c r="AV80" s="25">
        <f>IF($AS80&gt;0,LARGE(D80:H80,1),0)</f>
        <v>0</v>
      </c>
      <c r="AW80" s="25">
        <f>IF($AT80&gt;0,LARGE(I80:M80,1),0)</f>
        <v>0</v>
      </c>
      <c r="AX80" s="25">
        <f>IF($AU80&gt;0,LARGE(N80:S80,1),0)</f>
        <v>0</v>
      </c>
      <c r="AY80" s="25">
        <f>IF('League Summary'!$X$2=1,T80,"")</f>
      </c>
      <c r="AZ80" s="25">
        <f>SUM(AV80:AY80)</f>
        <v>0</v>
      </c>
      <c r="BA80" t="str">
        <f>IF(AND(AV80&gt;0,AW80&gt;0,AX80&gt;0,(AP80&gt;=4)),"Q","NQ")</f>
        <v>NQ</v>
      </c>
      <c r="BB80">
        <f>IF(AZ80&gt;0,RANK(AZ80,AZ$8:AZ$86,0),"")</f>
      </c>
      <c r="BC80">
        <f>A79</f>
        <v>0</v>
      </c>
      <c r="BD80">
        <f t="shared" si="5"/>
        <v>0</v>
      </c>
      <c r="BN80">
        <f t="shared" si="6"/>
        <v>80</v>
      </c>
      <c r="BO80" s="108">
        <f t="shared" si="7"/>
      </c>
    </row>
    <row r="81" spans="1:70" ht="12.75">
      <c r="A81" s="192"/>
      <c r="B81" s="193"/>
      <c r="C81" s="194" t="s">
        <v>36</v>
      </c>
      <c r="D81" s="195">
        <v>0</v>
      </c>
      <c r="E81" s="195">
        <v>0</v>
      </c>
      <c r="F81" s="195">
        <v>0</v>
      </c>
      <c r="G81" s="195">
        <v>0</v>
      </c>
      <c r="H81" s="195">
        <v>0</v>
      </c>
      <c r="I81" s="195">
        <v>0</v>
      </c>
      <c r="J81" s="195">
        <v>0</v>
      </c>
      <c r="K81" s="195">
        <v>0</v>
      </c>
      <c r="L81" s="195">
        <v>0</v>
      </c>
      <c r="M81" s="195">
        <v>0</v>
      </c>
      <c r="N81" s="195">
        <v>0</v>
      </c>
      <c r="O81" s="195">
        <v>0</v>
      </c>
      <c r="P81" s="195">
        <v>0</v>
      </c>
      <c r="Q81" s="195">
        <v>0</v>
      </c>
      <c r="R81" s="195">
        <v>0</v>
      </c>
      <c r="S81" s="196">
        <v>0</v>
      </c>
      <c r="T81" s="196">
        <v>0</v>
      </c>
      <c r="U81" s="197"/>
      <c r="V81" s="198"/>
      <c r="W81" s="4"/>
      <c r="BD81">
        <f t="shared" si="5"/>
        <v>0</v>
      </c>
      <c r="BJ81">
        <f>IF(BO81&gt;0,"In","")</f>
      </c>
      <c r="BK81" s="41">
        <f>IF(BJ81="In",BO81,"")</f>
      </c>
      <c r="BL81">
        <f>IF(BJ81="In",RANK(BK81,BK$7:BK$86,1),"")</f>
      </c>
      <c r="BM81">
        <f>CONCATENATE(BJ81,BL81)</f>
      </c>
      <c r="BN81">
        <f t="shared" si="6"/>
        <v>81</v>
      </c>
      <c r="BO81" s="41">
        <f t="shared" si="7"/>
        <v>0</v>
      </c>
      <c r="BP81">
        <f>BO82</f>
      </c>
      <c r="BQ81">
        <f>IF($BJ81="In",A81,"")</f>
      </c>
      <c r="BR81">
        <f>IF($BJ81="In",B81,"")</f>
      </c>
    </row>
    <row r="82" spans="1:67" ht="13.5" thickBot="1">
      <c r="A82" s="48" t="str">
        <f>CONCATENATE(A81,C82)</f>
        <v>Points</v>
      </c>
      <c r="B82" s="46"/>
      <c r="C82" s="47" t="s">
        <v>37</v>
      </c>
      <c r="D82" s="42">
        <f>IF(D81&gt;0,VLOOKUP(CONCATENATE($C$2,$B81),'Base Calculation'!$A$5:$O$89,D$5+2,FALSE)/D81*100,"")</f>
      </c>
      <c r="E82" s="42">
        <f>IF(E81&gt;0,VLOOKUP(CONCATENATE($C$2,$B81),'Base Calculation'!$A$5:$O$89,E$5+2,FALSE)/E81*100,"")</f>
      </c>
      <c r="F82" s="42">
        <f>IF(F81&gt;0,VLOOKUP(CONCATENATE($C$2,$B81),'Base Calculation'!$A$5:$O$89,F$5+2,FALSE)/F81*100,"")</f>
      </c>
      <c r="G82" s="42">
        <f>IF(G81&gt;0,VLOOKUP(CONCATENATE($C$2,$B81),'Base Calculation'!$A$5:$O$89,G$5+2,FALSE)/G81*100,"")</f>
      </c>
      <c r="H82" s="42">
        <f>IF(H81&gt;0,VLOOKUP(CONCATENATE($C$2,$B81),'Base Calculation'!$A$5:$O$89,H$5+2,FALSE)/H81*100,"")</f>
      </c>
      <c r="I82" s="42">
        <f>IF(I81&gt;0,VLOOKUP(CONCATENATE($C$2,$B81),'Base Calculation'!$A$5:$O$89,I$5+2,FALSE)/I81*100,"")</f>
      </c>
      <c r="J82" s="42">
        <f>IF(J81&gt;0,VLOOKUP(CONCATENATE($C$2,$B81),'Base Calculation'!$A$5:$O$89,J$5+2,FALSE)/J81*100,"")</f>
      </c>
      <c r="K82" s="42">
        <f>IF(K81&gt;0,VLOOKUP(CONCATENATE($C$2,$B81),'Base Calculation'!$A$5:$O$89,K$5+2,FALSE)/K81*100,"")</f>
      </c>
      <c r="L82" s="42">
        <f>IF(L81&gt;0,VLOOKUP(CONCATENATE($C$2,$B81),'Base Calculation'!$A$5:$O$89,L$5+2,FALSE)/L81*100,"")</f>
      </c>
      <c r="M82" s="42">
        <f>IF(M81&gt;0,VLOOKUP(CONCATENATE($C$2,$B81),'Base Calculation'!$A$5:$O$89,M$5+2,FALSE)/M81*100,"")</f>
      </c>
      <c r="N82" s="42">
        <f>IF(N81&gt;0,VLOOKUP(CONCATENATE($C$2,$B81),'Base Calculation'!$A$5:$O$89,N$5+2,FALSE)/N81*100,"")</f>
      </c>
      <c r="O82" s="42">
        <f>IF(O81&gt;0,VLOOKUP(CONCATENATE($C$2,$B81),'Base Calculation'!$A$5:$O$89,O$5+2,FALSE)/O81*100,"")</f>
      </c>
      <c r="P82" s="42">
        <f>IF(P81&gt;0,VLOOKUP(CONCATENATE($C$2,$B81),'Base Calculation'!$A$5:$O$89,P$5+2,FALSE)/P81*100,"")</f>
      </c>
      <c r="Q82" s="42">
        <f>IF(Q81&gt;0,VLOOKUP(CONCATENATE($C$2,$B81),'Base Calculation'!$A$5:$O$89,Q$5+2,FALSE)/Q81*100,"")</f>
      </c>
      <c r="R82" s="42">
        <f>IF(R81&gt;0,VLOOKUP(CONCATENATE($C$2,$B81),'Base Calculation'!$A$5:$O$89,R$5+2,FALSE)/R81*100,"")</f>
      </c>
      <c r="S82" s="42">
        <f>IF(S81&gt;0,VLOOKUP(CONCATENATE($C$2,$B81),'Base Calculation'!$A$5:$O$89,S$5+2,FALSE)/S81*100,"")</f>
      </c>
      <c r="T82" s="83">
        <f>IF(T81&gt;0,VLOOKUP(CONCATENATE($C$2,$B81),'Base Calculation'!$A$5:$O$89,U81+2,FALSE)/T81*100,"")</f>
      </c>
      <c r="U82" s="89">
        <f>IF(U81&gt;0,VLOOKUP(U81,BF$2:BG$14,2,FALSE),"")</f>
      </c>
      <c r="V82" s="90">
        <f>V81</f>
        <v>0</v>
      </c>
      <c r="W82" s="4"/>
      <c r="AP82" s="25">
        <f>17-COUNTIF(D82:T82,"")</f>
        <v>0</v>
      </c>
      <c r="AQ82" t="str">
        <f>CONCATENATE($C$2,BB82)</f>
        <v>Male</v>
      </c>
      <c r="AS82" s="25">
        <f>SUM(D82:H82)</f>
        <v>0</v>
      </c>
      <c r="AT82" s="25">
        <f>SUM(I82:M82)</f>
        <v>0</v>
      </c>
      <c r="AU82" s="25">
        <f>SUM(N82:S82)</f>
        <v>0</v>
      </c>
      <c r="AV82" s="25">
        <f>IF($AS82&gt;0,LARGE(D82:H82,1),0)</f>
        <v>0</v>
      </c>
      <c r="AW82" s="25">
        <f>IF($AT82&gt;0,LARGE(I82:M82,1),0)</f>
        <v>0</v>
      </c>
      <c r="AX82" s="25">
        <f>IF($AU82&gt;0,LARGE(N82:S82,1),0)</f>
        <v>0</v>
      </c>
      <c r="AY82" s="25">
        <f>IF('League Summary'!$X$2=1,T82,"")</f>
      </c>
      <c r="AZ82" s="25">
        <f>SUM(AV82:AY82)</f>
        <v>0</v>
      </c>
      <c r="BA82" t="str">
        <f>IF(AND(AV82&gt;0,AW82&gt;0,AX82&gt;0,(AP82&gt;=4)),"Q","NQ")</f>
        <v>NQ</v>
      </c>
      <c r="BB82">
        <f>IF(AZ82&gt;0,RANK(AZ82,AZ$8:AZ$86,0),"")</f>
      </c>
      <c r="BC82">
        <f>A81</f>
        <v>0</v>
      </c>
      <c r="BD82">
        <f t="shared" si="5"/>
        <v>0</v>
      </c>
      <c r="BN82">
        <f t="shared" si="6"/>
        <v>82</v>
      </c>
      <c r="BO82" s="108">
        <f t="shared" si="7"/>
      </c>
    </row>
    <row r="83" spans="1:70" ht="12.75">
      <c r="A83" s="192"/>
      <c r="B83" s="193"/>
      <c r="C83" s="194" t="s">
        <v>36</v>
      </c>
      <c r="D83" s="195">
        <v>0</v>
      </c>
      <c r="E83" s="195">
        <v>0</v>
      </c>
      <c r="F83" s="195">
        <v>0</v>
      </c>
      <c r="G83" s="195">
        <v>0</v>
      </c>
      <c r="H83" s="195">
        <v>0</v>
      </c>
      <c r="I83" s="195">
        <v>0</v>
      </c>
      <c r="J83" s="195">
        <v>0</v>
      </c>
      <c r="K83" s="195">
        <v>0</v>
      </c>
      <c r="L83" s="195">
        <v>0</v>
      </c>
      <c r="M83" s="195">
        <v>0</v>
      </c>
      <c r="N83" s="195">
        <v>0</v>
      </c>
      <c r="O83" s="195">
        <v>0</v>
      </c>
      <c r="P83" s="195">
        <v>0</v>
      </c>
      <c r="Q83" s="195">
        <v>0</v>
      </c>
      <c r="R83" s="195">
        <v>0</v>
      </c>
      <c r="S83" s="196">
        <v>0</v>
      </c>
      <c r="T83" s="196">
        <v>0</v>
      </c>
      <c r="U83" s="197"/>
      <c r="V83" s="198"/>
      <c r="W83" s="4"/>
      <c r="BD83">
        <f t="shared" si="5"/>
        <v>0</v>
      </c>
      <c r="BJ83">
        <f>IF(BO83&gt;0,"In","")</f>
      </c>
      <c r="BK83" s="41">
        <f>IF(BJ83="In",BO83,"")</f>
      </c>
      <c r="BL83">
        <f>IF(BJ83="In",RANK(BK83,BK$7:BK$86,1),"")</f>
      </c>
      <c r="BM83">
        <f>CONCATENATE(BJ83,BL83)</f>
      </c>
      <c r="BN83">
        <f t="shared" si="6"/>
        <v>83</v>
      </c>
      <c r="BO83" s="41">
        <f t="shared" si="7"/>
        <v>0</v>
      </c>
      <c r="BP83">
        <f>BO84</f>
      </c>
      <c r="BQ83">
        <f>IF($BJ83="In",A83,"")</f>
      </c>
      <c r="BR83">
        <f>IF($BJ83="In",B83,"")</f>
      </c>
    </row>
    <row r="84" spans="1:67" ht="13.5" thickBot="1">
      <c r="A84" s="48" t="str">
        <f>CONCATENATE(A83,C84)</f>
        <v>Points</v>
      </c>
      <c r="B84" s="46"/>
      <c r="C84" s="47" t="s">
        <v>37</v>
      </c>
      <c r="D84" s="42">
        <f>IF(D83&gt;0,VLOOKUP(CONCATENATE($C$2,$B83),'Base Calculation'!$A$5:$O$89,D$5+2,FALSE)/D83*100,"")</f>
      </c>
      <c r="E84" s="42">
        <f>IF(E83&gt;0,VLOOKUP(CONCATENATE($C$2,$B83),'Base Calculation'!$A$5:$O$89,E$5+2,FALSE)/E83*100,"")</f>
      </c>
      <c r="F84" s="42">
        <f>IF(F83&gt;0,VLOOKUP(CONCATENATE($C$2,$B83),'Base Calculation'!$A$5:$O$89,F$5+2,FALSE)/F83*100,"")</f>
      </c>
      <c r="G84" s="42">
        <f>IF(G83&gt;0,VLOOKUP(CONCATENATE($C$2,$B83),'Base Calculation'!$A$5:$O$89,G$5+2,FALSE)/G83*100,"")</f>
      </c>
      <c r="H84" s="42">
        <f>IF(H83&gt;0,VLOOKUP(CONCATENATE($C$2,$B83),'Base Calculation'!$A$5:$O$89,H$5+2,FALSE)/H83*100,"")</f>
      </c>
      <c r="I84" s="42">
        <f>IF(I83&gt;0,VLOOKUP(CONCATENATE($C$2,$B83),'Base Calculation'!$A$5:$O$89,I$5+2,FALSE)/I83*100,"")</f>
      </c>
      <c r="J84" s="42">
        <f>IF(J83&gt;0,VLOOKUP(CONCATENATE($C$2,$B83),'Base Calculation'!$A$5:$O$89,J$5+2,FALSE)/J83*100,"")</f>
      </c>
      <c r="K84" s="42">
        <f>IF(K83&gt;0,VLOOKUP(CONCATENATE($C$2,$B83),'Base Calculation'!$A$5:$O$89,K$5+2,FALSE)/K83*100,"")</f>
      </c>
      <c r="L84" s="42">
        <f>IF(L83&gt;0,VLOOKUP(CONCATENATE($C$2,$B83),'Base Calculation'!$A$5:$O$89,L$5+2,FALSE)/L83*100,"")</f>
      </c>
      <c r="M84" s="42">
        <f>IF(M83&gt;0,VLOOKUP(CONCATENATE($C$2,$B83),'Base Calculation'!$A$5:$O$89,M$5+2,FALSE)/M83*100,"")</f>
      </c>
      <c r="N84" s="42">
        <f>IF(N83&gt;0,VLOOKUP(CONCATENATE($C$2,$B83),'Base Calculation'!$A$5:$O$89,N$5+2,FALSE)/N83*100,"")</f>
      </c>
      <c r="O84" s="42">
        <f>IF(O83&gt;0,VLOOKUP(CONCATENATE($C$2,$B83),'Base Calculation'!$A$5:$O$89,O$5+2,FALSE)/O83*100,"")</f>
      </c>
      <c r="P84" s="42">
        <f>IF(P83&gt;0,VLOOKUP(CONCATENATE($C$2,$B83),'Base Calculation'!$A$5:$O$89,P$5+2,FALSE)/P83*100,"")</f>
      </c>
      <c r="Q84" s="42">
        <f>IF(Q83&gt;0,VLOOKUP(CONCATENATE($C$2,$B83),'Base Calculation'!$A$5:$O$89,Q$5+2,FALSE)/Q83*100,"")</f>
      </c>
      <c r="R84" s="42">
        <f>IF(R83&gt;0,VLOOKUP(CONCATENATE($C$2,$B83),'Base Calculation'!$A$5:$O$89,R$5+2,FALSE)/R83*100,"")</f>
      </c>
      <c r="S84" s="42">
        <f>IF(S83&gt;0,VLOOKUP(CONCATENATE($C$2,$B83),'Base Calculation'!$A$5:$O$89,S$5+2,FALSE)/S83*100,"")</f>
      </c>
      <c r="T84" s="91">
        <f>IF(T83&gt;0,VLOOKUP(CONCATENATE($C$2,$B83),'Base Calculation'!$A$5:$O$89,U83+2,FALSE)/T83*100,"")</f>
      </c>
      <c r="U84" s="92">
        <f>IF(U83&gt;0,VLOOKUP(U83,BF$2:BG$14,2,FALSE),"")</f>
      </c>
      <c r="V84" s="93">
        <f>V83</f>
        <v>0</v>
      </c>
      <c r="W84" s="4"/>
      <c r="AP84" s="25">
        <f>17-COUNTIF(D84:T84,"")</f>
        <v>0</v>
      </c>
      <c r="AQ84" t="str">
        <f>CONCATENATE($C$2,BB84)</f>
        <v>Male</v>
      </c>
      <c r="AS84" s="25">
        <f>SUM(D84:H84)</f>
        <v>0</v>
      </c>
      <c r="AT84" s="25">
        <f>SUM(I84:M84)</f>
        <v>0</v>
      </c>
      <c r="AU84" s="25">
        <f>SUM(N84:S84)</f>
        <v>0</v>
      </c>
      <c r="AV84" s="25">
        <f>IF($AS84&gt;0,LARGE(D84:H84,1),0)</f>
        <v>0</v>
      </c>
      <c r="AW84" s="25">
        <f>IF($AT84&gt;0,LARGE(I84:M84,1),0)</f>
        <v>0</v>
      </c>
      <c r="AX84" s="25">
        <f>IF($AU84&gt;0,LARGE(N84:S84,1),0)</f>
        <v>0</v>
      </c>
      <c r="AY84" s="25">
        <f>IF('League Summary'!$X$2=1,T84,"")</f>
      </c>
      <c r="AZ84" s="25">
        <f>SUM(AV84:AY84)</f>
        <v>0</v>
      </c>
      <c r="BA84" t="str">
        <f>IF(AND(AV84&gt;0,AW84&gt;0,AX84&gt;0,(AP84&gt;=4)),"Q","NQ")</f>
        <v>NQ</v>
      </c>
      <c r="BB84">
        <f>IF(AZ84&gt;0,RANK(AZ84,AZ$8:AZ$86,0),"")</f>
      </c>
      <c r="BC84">
        <f>A83</f>
        <v>0</v>
      </c>
      <c r="BD84">
        <f t="shared" si="5"/>
        <v>0</v>
      </c>
      <c r="BN84">
        <f t="shared" si="6"/>
        <v>84</v>
      </c>
      <c r="BO84" s="108">
        <f t="shared" si="7"/>
      </c>
    </row>
    <row r="85" spans="1:70" ht="12.75">
      <c r="A85" s="192"/>
      <c r="B85" s="193"/>
      <c r="C85" s="194" t="s">
        <v>36</v>
      </c>
      <c r="D85" s="195">
        <v>0</v>
      </c>
      <c r="E85" s="195">
        <v>0</v>
      </c>
      <c r="F85" s="195">
        <v>0</v>
      </c>
      <c r="G85" s="195">
        <v>0</v>
      </c>
      <c r="H85" s="195">
        <v>0</v>
      </c>
      <c r="I85" s="195">
        <v>0</v>
      </c>
      <c r="J85" s="195">
        <v>0</v>
      </c>
      <c r="K85" s="195">
        <v>0</v>
      </c>
      <c r="L85" s="195">
        <v>0</v>
      </c>
      <c r="M85" s="195">
        <v>0</v>
      </c>
      <c r="N85" s="195">
        <v>0</v>
      </c>
      <c r="O85" s="195">
        <v>0</v>
      </c>
      <c r="P85" s="195">
        <v>0</v>
      </c>
      <c r="Q85" s="195">
        <v>0</v>
      </c>
      <c r="R85" s="195">
        <v>0</v>
      </c>
      <c r="S85" s="196">
        <v>0</v>
      </c>
      <c r="T85" s="196">
        <v>0</v>
      </c>
      <c r="U85" s="197"/>
      <c r="V85" s="198"/>
      <c r="W85" s="4"/>
      <c r="BD85">
        <f t="shared" si="5"/>
        <v>0</v>
      </c>
      <c r="BJ85">
        <f>IF(BO85&gt;0,"In","")</f>
      </c>
      <c r="BK85" s="41">
        <f>IF(BJ85="In",BO85,"")</f>
      </c>
      <c r="BL85">
        <f>IF(BJ85="In",RANK(BK85,BK$7:BK$86,1),"")</f>
      </c>
      <c r="BM85">
        <f>CONCATENATE(BJ85,BL85)</f>
      </c>
      <c r="BN85">
        <f t="shared" si="6"/>
        <v>85</v>
      </c>
      <c r="BO85" s="41">
        <f t="shared" si="7"/>
        <v>0</v>
      </c>
      <c r="BP85">
        <f>BO86</f>
      </c>
      <c r="BQ85">
        <f>IF($BJ85="In",A85,"")</f>
      </c>
      <c r="BR85">
        <f>IF($BJ85="In",B85,"")</f>
      </c>
    </row>
    <row r="86" spans="1:67" ht="13.5" thickBot="1">
      <c r="A86" s="48" t="str">
        <f>CONCATENATE(A85,C86)</f>
        <v>Points</v>
      </c>
      <c r="B86" s="46"/>
      <c r="C86" s="47" t="s">
        <v>37</v>
      </c>
      <c r="D86" s="42">
        <f>IF(D85&gt;0,VLOOKUP(CONCATENATE($C$2,$B85),'Base Calculation'!$A$5:$O$89,D$5+2,FALSE)/D85*100,"")</f>
      </c>
      <c r="E86" s="42">
        <f>IF(E85&gt;0,VLOOKUP(CONCATENATE($C$2,$B85),'Base Calculation'!$A$5:$O$89,E$5+2,FALSE)/E85*100,"")</f>
      </c>
      <c r="F86" s="42">
        <f>IF(F85&gt;0,VLOOKUP(CONCATENATE($C$2,$B85),'Base Calculation'!$A$5:$O$89,F$5+2,FALSE)/F85*100,"")</f>
      </c>
      <c r="G86" s="42">
        <f>IF(G85&gt;0,VLOOKUP(CONCATENATE($C$2,$B85),'Base Calculation'!$A$5:$O$89,G$5+2,FALSE)/G85*100,"")</f>
      </c>
      <c r="H86" s="42">
        <f>IF(H85&gt;0,VLOOKUP(CONCATENATE($C$2,$B85),'Base Calculation'!$A$5:$O$89,H$5+2,FALSE)/H85*100,"")</f>
      </c>
      <c r="I86" s="42">
        <f>IF(I85&gt;0,VLOOKUP(CONCATENATE($C$2,$B85),'Base Calculation'!$A$5:$O$89,I$5+2,FALSE)/I85*100,"")</f>
      </c>
      <c r="J86" s="42">
        <f>IF(J85&gt;0,VLOOKUP(CONCATENATE($C$2,$B85),'Base Calculation'!$A$5:$O$89,J$5+2,FALSE)/J85*100,"")</f>
      </c>
      <c r="K86" s="42">
        <f>IF(K85&gt;0,VLOOKUP(CONCATENATE($C$2,$B85),'Base Calculation'!$A$5:$O$89,K$5+2,FALSE)/K85*100,"")</f>
      </c>
      <c r="L86" s="42">
        <f>IF(L85&gt;0,VLOOKUP(CONCATENATE($C$2,$B85),'Base Calculation'!$A$5:$O$89,L$5+2,FALSE)/L85*100,"")</f>
      </c>
      <c r="M86" s="42">
        <f>IF(M85&gt;0,VLOOKUP(CONCATENATE($C$2,$B85),'Base Calculation'!$A$5:$O$89,M$5+2,FALSE)/M85*100,"")</f>
      </c>
      <c r="N86" s="42">
        <f>IF(N85&gt;0,VLOOKUP(CONCATENATE($C$2,$B85),'Base Calculation'!$A$5:$O$89,N$5+2,FALSE)/N85*100,"")</f>
      </c>
      <c r="O86" s="42">
        <f>IF(O85&gt;0,VLOOKUP(CONCATENATE($C$2,$B85),'Base Calculation'!$A$5:$O$89,O$5+2,FALSE)/O85*100,"")</f>
      </c>
      <c r="P86" s="42">
        <f>IF(P85&gt;0,VLOOKUP(CONCATENATE($C$2,$B85),'Base Calculation'!$A$5:$O$89,P$5+2,FALSE)/P85*100,"")</f>
      </c>
      <c r="Q86" s="42">
        <f>IF(Q85&gt;0,VLOOKUP(CONCATENATE($C$2,$B85),'Base Calculation'!$A$5:$O$89,Q$5+2,FALSE)/Q85*100,"")</f>
      </c>
      <c r="R86" s="42">
        <f>IF(R85&gt;0,VLOOKUP(CONCATENATE($C$2,$B85),'Base Calculation'!$A$5:$O$89,R$5+2,FALSE)/R85*100,"")</f>
      </c>
      <c r="S86" s="42">
        <f>IF(S85&gt;0,VLOOKUP(CONCATENATE($C$2,$B85),'Base Calculation'!$A$5:$O$89,S$5+2,FALSE)/S85*100,"")</f>
      </c>
      <c r="T86" s="83">
        <f>IF(T85&gt;0,VLOOKUP(CONCATENATE($C$2,$B85),'Base Calculation'!$A$5:$O$89,U85+2,FALSE)/T85*100,"")</f>
      </c>
      <c r="U86" s="89">
        <f>IF(U85&gt;0,VLOOKUP(U85,BF$2:BG$14,2,FALSE),"")</f>
      </c>
      <c r="V86" s="90">
        <f>V85</f>
        <v>0</v>
      </c>
      <c r="W86" s="4"/>
      <c r="AP86" s="25">
        <f>17-COUNTIF(D86:T86,"")</f>
        <v>0</v>
      </c>
      <c r="AQ86" t="str">
        <f>CONCATENATE($C$2,BB86)</f>
        <v>Male</v>
      </c>
      <c r="AS86" s="25">
        <f>SUM(D86:H86)</f>
        <v>0</v>
      </c>
      <c r="AT86" s="25">
        <f>SUM(I86:M86)</f>
        <v>0</v>
      </c>
      <c r="AU86" s="25">
        <f>SUM(N86:S86)</f>
        <v>0</v>
      </c>
      <c r="AV86" s="25">
        <f>IF($AS86&gt;0,LARGE(D86:H86,1),0)</f>
        <v>0</v>
      </c>
      <c r="AW86" s="25">
        <f>IF($AT86&gt;0,LARGE(I86:M86,1),0)</f>
        <v>0</v>
      </c>
      <c r="AX86" s="25">
        <f>IF($AU86&gt;0,LARGE(N86:S86,1),0)</f>
        <v>0</v>
      </c>
      <c r="AY86" s="25">
        <f>IF('League Summary'!$X$2=1,T86,"")</f>
      </c>
      <c r="AZ86" s="25">
        <f>SUM(AV86:AY86)</f>
        <v>0</v>
      </c>
      <c r="BA86" t="str">
        <f>IF(AND(AV86&gt;0,AW86&gt;0,AX86&gt;0,(AP86&gt;=4)),"Q","NQ")</f>
        <v>NQ</v>
      </c>
      <c r="BB86">
        <f>IF(AZ86&gt;0,RANK(AZ86,AZ$8:AZ$86,0),"")</f>
      </c>
      <c r="BC86">
        <f>A85</f>
        <v>0</v>
      </c>
      <c r="BD86">
        <f t="shared" si="5"/>
        <v>0</v>
      </c>
      <c r="BN86">
        <f t="shared" si="6"/>
        <v>86</v>
      </c>
      <c r="BO86" s="108">
        <f t="shared" si="7"/>
      </c>
    </row>
    <row r="88" ht="12.75">
      <c r="AY88" s="25"/>
    </row>
    <row r="90" ht="12.75">
      <c r="AY90" s="25"/>
    </row>
    <row r="92" ht="12.75">
      <c r="AY92" s="25"/>
    </row>
    <row r="94" ht="12.75">
      <c r="AY94" s="25">
        <f>IF('League Summary'!X88=1,T94,"")</f>
      </c>
    </row>
    <row r="100" spans="1:54" ht="12.75">
      <c r="A100" s="283" t="s">
        <v>66</v>
      </c>
      <c r="B100" s="262"/>
      <c r="C100" s="262"/>
      <c r="D100" s="25">
        <f>LARGE((D$8,D$10,D$12,D$14,D$16,D$18,D$20,D$22,D$24,D$26,D$28,D$30,D$32,D$34,D$36,D$38,D$40,D$42,D$44,D$46,D$48,D$50,D$52,D$54,D$56,D$58,D$60,D$62,D$64,D$66),1)</f>
        <v>80.8831232639071</v>
      </c>
      <c r="E100" s="25">
        <f>LARGE((E$8,E$10,E$12,E$14,E$16,E$18,E$20,E$22,E$24,E$26,E$28,E$30,E$32,E$34,E$36,E$38,E$40,E$42,E$44,E$46,E$48,E$50,E$52,E$54,E$56,E$58,E$60,E$62,E$64,E$66),1)</f>
        <v>81.16805308786613</v>
      </c>
      <c r="F100" s="25">
        <f>LARGE((F$8,F$10,F$12,F$14,F$16,F$18,F$20,F$22,F$24,F$26,F$28,F$30,F$32,F$34,F$36,F$38,F$40,F$42,F$44,F$46,F$48,F$50,F$52,F$54,F$56,F$58,F$60,F$62,F$64,F$66),1)</f>
        <v>82.21118756012814</v>
      </c>
      <c r="G100" s="25">
        <f>LARGE((G$8,G$10,G$12,G$14,G$16,G$18,G$20,G$22,G$24,G$26,G$28,G$30,G$32,G$34,G$36,G$38,G$40,G$42,G$44,G$46,G$48,G$50,G$52,G$54,G$56,G$58,G$60,G$62,G$64,G$66),1)</f>
        <v>83.21699156367717</v>
      </c>
      <c r="H100" s="25">
        <f>LARGE((H$8,H$10,H$12,H$14,H$16,H$18,H$20,H$22,H$24,H$26,H$28,H$30,H$32,H$34,H$36,H$38,H$40,H$42,H$44,H$46,H$48,H$50,H$52,H$54,H$56,H$58,H$60,H$62,H$64,H$66),1)</f>
        <v>82.17299578059071</v>
      </c>
      <c r="I100" s="25">
        <f>LARGE((I$8,I$10,I$12,I$14,I$16,I$18,I$20,I$22,I$24,I$26,I$28,I$30,I$32,I$34,I$36,I$38,I$40,I$42,I$44,I$46,I$48,I$50,I$52,I$54,I$56,I$58,I$60,I$62,I$64,I$66),1)</f>
        <v>85.11861291528814</v>
      </c>
      <c r="J100" s="25">
        <f>LARGE((J$8,J$10,J$12,J$14,J$16,J$18,J$20,J$22,J$24,J$26,J$28,J$30,J$32,J$34,J$36,J$38,J$40,J$42,J$44,J$46,J$48,J$50,J$52,J$54,J$56,J$58,J$60,J$62,J$64,J$66),1)</f>
        <v>78.79156254924473</v>
      </c>
      <c r="K100" s="25">
        <f>LARGE((K$8,K$10,K$12,K$14,K$16,K$18,K$20,K$22,K$24,K$26,K$28,K$30,K$32,K$34,K$36,K$38,K$40,K$42,K$44,K$46,K$48,K$50,K$52,K$54,K$56,K$58,K$60,K$62,K$64,K$66),1)</f>
        <v>80.38739066357877</v>
      </c>
      <c r="L100" s="25">
        <f>LARGE((L$8,L$10,L$12,L$14,L$16,L$18,L$20,L$22,L$24,L$26,L$28,L$30,L$32,L$34,L$36,L$38,L$40,L$42,L$44,L$46,L$48,L$50,L$52,L$54,L$56,L$58,L$60,L$62,L$64,L$66),1)</f>
        <v>87.66704268434373</v>
      </c>
      <c r="M100" s="25">
        <f>LARGE((M$8,M$10,M$12,M$14,M$16,M$18,M$20,M$22,M$24,M$26,M$28,M$30,M$32,M$34,M$36,M$38,M$40,M$42,M$44,M$46,M$48,M$50,M$52,M$54,M$56,M$58,M$60,M$62,M$64,M$66),1)</f>
        <v>80.45086274463962</v>
      </c>
      <c r="N100" s="25">
        <f>LARGE((N$8,N$10,N$12,N$14,N$16,N$18,N$20,N$22,N$24,N$26,N$28,N$30,N$32,N$34,N$36,N$38,N$40,N$42,N$44,N$46,N$48,N$50,N$52,N$54,N$56,N$58,N$60,N$62,N$64,N$66),1)</f>
        <v>77.71083297337027</v>
      </c>
      <c r="O100" s="25">
        <f>LARGE((O$8,O$10,O$12,O$14,O$16,O$18,O$20,O$22,O$24,O$26,O$28,O$30,O$32,O$34,O$36,O$38,O$40,O$42,O$44,O$46,O$48,O$50,O$52,O$54,O$56,O$58,O$60,O$62,O$64,O$66),1)</f>
        <v>73.53498824262012</v>
      </c>
      <c r="P100" s="25">
        <f>LARGE((P$8,P$10,P$12,P$14,P$16,P$18,P$20,P$22,P$24,P$26,P$28,P$30,P$32,P$34,P$36,P$38,P$40,P$42,P$44,P$46,P$48,P$50,P$52,P$54,P$56,P$58,P$60,P$62,P$64,P$66),1)</f>
        <v>79.44048136637628</v>
      </c>
      <c r="Q100" s="25">
        <f>LARGE((Q$8,Q$10,Q$12,Q$14,Q$16,Q$18,Q$20,Q$22,Q$24,Q$26,Q$28,Q$30,Q$32,Q$34,Q$36,Q$38,Q$40,Q$42,Q$44,Q$46,Q$48,Q$50,Q$52,Q$54,Q$56,Q$58,Q$60,Q$62,Q$64,Q$66),1)</f>
        <v>79.86948870692268</v>
      </c>
      <c r="R100" s="25">
        <f>LARGE((R$8,R$10,R$12,R$14,R$16,R$18,R$20,R$22,R$24,R$26,R$28,R$30,R$32,R$34,R$36,R$38,R$40,R$42,R$44,R$46,R$48,R$50,R$52,R$54,R$56,R$58,R$60,R$62,R$64,R$66),1)</f>
        <v>80.8875602480628</v>
      </c>
      <c r="S100" s="25">
        <f>LARGE((S$8,S$10,S$12,S$14,S$16,S$18,S$20,S$22,S$24,S$26,S$28,S$30,S$32,S$34,S$36,S$38,S$40,S$42,S$44,S$46,S$48,S$50,S$52,S$54,S$56,S$58,S$60,S$62,S$64,S$66),1)</f>
        <v>80.86149545868912</v>
      </c>
      <c r="AY100" s="260" t="s">
        <v>114</v>
      </c>
      <c r="AZ100" s="260"/>
      <c r="BA100" s="260"/>
      <c r="BB100" s="96">
        <f>LARGE((BB$8,BB$10,BB$12,BB$14,BB$16,BB$18,BB$20,BB$22,BB$24,BB$26,BB$28,BB$30,BB$32,BB$34,BB$36,BB$38,BB$40,BB$42,BB$44,BB$46,BB$48,BB$50,BB$52,BB$54,BB$56,BB$58,BB$60,BB$62,BB$64,BB$66),1)</f>
        <v>30</v>
      </c>
    </row>
    <row r="101" spans="1:52" ht="12.75">
      <c r="A101" s="262"/>
      <c r="B101" s="262"/>
      <c r="C101" s="262"/>
      <c r="D101" s="25">
        <f>LARGE((D$8,D$10,D$12,D$14,D$16,D$18,D$20,D$22,D$24,D$26,D$28,D$30,D$32,D$34,D$36,D$38,D$40,D$42,D$44,D$46,D$48,D$50,D$52,D$54,D$56,D$58,D$60,D$62,D$64,D$66),2)</f>
        <v>80.8295707980919</v>
      </c>
      <c r="E101" s="25">
        <f>LARGE((E$8,E$10,E$12,E$14,E$16,E$18,E$20,E$22,E$24,E$26,E$28,E$30,E$32,E$34,E$36,E$38,E$40,E$42,E$44,E$46,E$48,E$50,E$52,E$54,E$56,E$58,E$60,E$62,E$64,E$66),2)</f>
        <v>79.90272176979913</v>
      </c>
      <c r="F101" s="25">
        <f>LARGE((F$8,F$10,F$12,F$14,F$16,F$18,F$20,F$22,F$24,F$26,F$28,F$30,F$32,F$34,F$36,F$38,F$40,F$42,F$44,F$46,F$48,F$50,F$52,F$54,F$56,F$58,F$60,F$62,F$64,F$66),2)</f>
        <v>81.85359407678392</v>
      </c>
      <c r="G101" s="25">
        <f>LARGE((G$8,G$10,G$12,G$14,G$16,G$18,G$20,G$22,G$24,G$26,G$28,G$30,G$32,G$34,G$36,G$38,G$40,G$42,G$44,G$46,G$48,G$50,G$52,G$54,G$56,G$58,G$60,G$62,G$64,G$66),2)</f>
        <v>81.32352523597395</v>
      </c>
      <c r="H101" s="25">
        <f>LARGE((H$8,H$10,H$12,H$14,H$16,H$18,H$20,H$22,H$24,H$26,H$28,H$30,H$32,H$34,H$36,H$38,H$40,H$42,H$44,H$46,H$48,H$50,H$52,H$54,H$56,H$58,H$60,H$62,H$64,H$66),2)</f>
        <v>79.57099080694586</v>
      </c>
      <c r="I101" s="25">
        <f>LARGE((I$8,I$10,I$12,I$14,I$16,I$18,I$20,I$22,I$24,I$26,I$28,I$30,I$32,I$34,I$36,I$38,I$40,I$42,I$44,I$46,I$48,I$50,I$52,I$54,I$56,I$58,I$60,I$62,I$64,I$66),2)</f>
        <v>85.04180047836014</v>
      </c>
      <c r="J101" s="25">
        <f>LARGE((J$8,J$10,J$12,J$14,J$16,J$18,J$20,J$22,J$24,J$26,J$28,J$30,J$32,J$34,J$36,J$38,J$40,J$42,J$44,J$46,J$48,J$50,J$52,J$54,J$56,J$58,J$60,J$62,J$64,J$66),2)</f>
        <v>72.73650910938187</v>
      </c>
      <c r="K101" s="25">
        <f>LARGE((K$8,K$10,K$12,K$14,K$16,K$18,K$20,K$22,K$24,K$26,K$28,K$30,K$32,K$34,K$36,K$38,K$40,K$42,K$44,K$46,K$48,K$50,K$52,K$54,K$56,K$58,K$60,K$62,K$64,K$66),2)</f>
        <v>78.88212756366914</v>
      </c>
      <c r="L101" s="25">
        <f>LARGE((L$8,L$10,L$12,L$14,L$16,L$18,L$20,L$22,L$24,L$26,L$28,L$30,L$32,L$34,L$36,L$38,L$40,L$42,L$44,L$46,L$48,L$50,L$52,L$54,L$56,L$58,L$60,L$62,L$64,L$66),2)</f>
        <v>86.49111098678736</v>
      </c>
      <c r="M101" s="25">
        <f>LARGE((M$8,M$10,M$12,M$14,M$16,M$18,M$20,M$22,M$24,M$26,M$28,M$30,M$32,M$34,M$36,M$38,M$40,M$42,M$44,M$46,M$48,M$50,M$52,M$54,M$56,M$58,M$60,M$62,M$64,M$66),2)</f>
        <v>80.42279411764707</v>
      </c>
      <c r="N101" s="25">
        <f>LARGE((N$8,N$10,N$12,N$14,N$16,N$18,N$20,N$22,N$24,N$26,N$28,N$30,N$32,N$34,N$36,N$38,N$40,N$42,N$44,N$46,N$48,N$50,N$52,N$54,N$56,N$58,N$60,N$62,N$64,N$66),2)</f>
        <v>74.75537531086867</v>
      </c>
      <c r="O101" s="25">
        <f>LARGE((O$8,O$10,O$12,O$14,O$16,O$18,O$20,O$22,O$24,O$26,O$28,O$30,O$32,O$34,O$36,O$38,O$40,O$42,O$44,O$46,O$48,O$50,O$52,O$54,O$56,O$58,O$60,O$62,O$64,O$66),2)</f>
        <v>64.9675743660258</v>
      </c>
      <c r="P101" s="25">
        <f>LARGE((P$8,P$10,P$12,P$14,P$16,P$18,P$20,P$22,P$24,P$26,P$28,P$30,P$32,P$34,P$36,P$38,P$40,P$42,P$44,P$46,P$48,P$50,P$52,P$54,P$56,P$58,P$60,P$62,P$64,P$66),2)</f>
        <v>74.09470126095609</v>
      </c>
      <c r="Q101" s="25">
        <f>LARGE((Q$8,Q$10,Q$12,Q$14,Q$16,Q$18,Q$20,Q$22,Q$24,Q$26,Q$28,Q$30,Q$32,Q$34,Q$36,Q$38,Q$40,Q$42,Q$44,Q$46,Q$48,Q$50,Q$52,Q$54,Q$56,Q$58,Q$60,Q$62,Q$64,Q$66),2)</f>
        <v>79.13153155275565</v>
      </c>
      <c r="R101" s="25">
        <f>LARGE((R$8,R$10,R$12,R$14,R$16,R$18,R$20,R$22,R$24,R$26,R$28,R$30,R$32,R$34,R$36,R$38,R$40,R$42,R$44,R$46,R$48,R$50,R$52,R$54,R$56,R$58,R$60,R$62,R$64,R$66),2)</f>
        <v>80.73159990957699</v>
      </c>
      <c r="S101" s="25">
        <f>LARGE((S$8,S$10,S$12,S$14,S$16,S$18,S$20,S$22,S$24,S$26,S$28,S$30,S$32,S$34,S$36,S$38,S$40,S$42,S$44,S$46,S$48,S$50,S$52,S$54,S$56,S$58,S$60,S$62,S$64,S$66),2)</f>
        <v>77.88825981839406</v>
      </c>
      <c r="AZ101" s="25"/>
    </row>
    <row r="102" spans="1:52" ht="12.75">
      <c r="A102" s="262"/>
      <c r="B102" s="262"/>
      <c r="C102" s="262"/>
      <c r="D102" s="25">
        <f>LARGE((D$8,D$10,D$12,D$14,D$16,D$18,D$20,D$22,D$24,D$26,D$28,D$30,D$32,D$34,D$36,D$38,D$40,D$42,D$44,D$46,D$48,D$50,D$52,D$54,D$56,D$58,D$60,D$62,D$64,D$66),3)</f>
        <v>79.41080647535492</v>
      </c>
      <c r="E102" s="25">
        <f>LARGE((E$8,E$10,E$12,E$14,E$16,E$18,E$20,E$22,E$24,E$26,E$28,E$30,E$32,E$34,E$36,E$38,E$40,E$42,E$44,E$46,E$48,E$50,E$52,E$54,E$56,E$58,E$60,E$62,E$64,E$66),3)</f>
        <v>77.03660455083605</v>
      </c>
      <c r="F102" s="25">
        <f>LARGE((F$8,F$10,F$12,F$14,F$16,F$18,F$20,F$22,F$24,F$26,F$28,F$30,F$32,F$34,F$36,F$38,F$40,F$42,F$44,F$46,F$48,F$50,F$52,F$54,F$56,F$58,F$60,F$62,F$64,F$66),3)</f>
        <v>81.5982702423678</v>
      </c>
      <c r="G102" s="25">
        <f>LARGE((G$8,G$10,G$12,G$14,G$16,G$18,G$20,G$22,G$24,G$26,G$28,G$30,G$32,G$34,G$36,G$38,G$40,G$42,G$44,G$46,G$48,G$50,G$52,G$54,G$56,G$58,G$60,G$62,G$64,G$66),3)</f>
        <v>80.22657054582902</v>
      </c>
      <c r="H102" s="25">
        <f>LARGE((H$8,H$10,H$12,H$14,H$16,H$18,H$20,H$22,H$24,H$26,H$28,H$30,H$32,H$34,H$36,H$38,H$40,H$42,H$44,H$46,H$48,H$50,H$52,H$54,H$56,H$58,H$60,H$62,H$64,H$66),3)</f>
        <v>79.17864002198706</v>
      </c>
      <c r="I102" s="25">
        <f>LARGE((I$8,I$10,I$12,I$14,I$16,I$18,I$20,I$22,I$24,I$26,I$28,I$30,I$32,I$34,I$36,I$38,I$40,I$42,I$44,I$46,I$48,I$50,I$52,I$54,I$56,I$58,I$60,I$62,I$64,I$66),3)</f>
        <v>84.72997424923372</v>
      </c>
      <c r="J102" s="25">
        <f>LARGE((J$8,J$10,J$12,J$14,J$16,J$18,J$20,J$22,J$24,J$26,J$28,J$30,J$32,J$34,J$36,J$38,J$40,J$42,J$44,J$46,J$48,J$50,J$52,J$54,J$56,J$58,J$60,J$62,J$64,J$66),3)</f>
        <v>70.69508678210336</v>
      </c>
      <c r="K102" s="25">
        <f>LARGE((K$8,K$10,K$12,K$14,K$16,K$18,K$20,K$22,K$24,K$26,K$28,K$30,K$32,K$34,K$36,K$38,K$40,K$42,K$44,K$46,K$48,K$50,K$52,K$54,K$56,K$58,K$60,K$62,K$64,K$66),3)</f>
        <v>65.12511257738478</v>
      </c>
      <c r="L102" s="25">
        <f>LARGE((L$8,L$10,L$12,L$14,L$16,L$18,L$20,L$22,L$24,L$26,L$28,L$30,L$32,L$34,L$36,L$38,L$40,L$42,L$44,L$46,L$48,L$50,L$52,L$54,L$56,L$58,L$60,L$62,L$64,L$66),3)</f>
        <v>82.44272837753208</v>
      </c>
      <c r="M102" s="25">
        <f>LARGE((M$8,M$10,M$12,M$14,M$16,M$18,M$20,M$22,M$24,M$26,M$28,M$30,M$32,M$34,M$36,M$38,M$40,M$42,M$44,M$46,M$48,M$50,M$52,M$54,M$56,M$58,M$60,M$62,M$64,M$66),3)</f>
        <v>77.28453291620447</v>
      </c>
      <c r="N102" s="25">
        <f>LARGE((N$8,N$10,N$12,N$14,N$16,N$18,N$20,N$22,N$24,N$26,N$28,N$30,N$32,N$34,N$36,N$38,N$40,N$42,N$44,N$46,N$48,N$50,N$52,N$54,N$56,N$58,N$60,N$62,N$64,N$66),3)</f>
        <v>73.88403343749309</v>
      </c>
      <c r="O102" s="25">
        <f>LARGE((O$8,O$10,O$12,O$14,O$16,O$18,O$20,O$22,O$24,O$26,O$28,O$30,O$32,O$34,O$36,O$38,O$40,O$42,O$44,O$46,O$48,O$50,O$52,O$54,O$56,O$58,O$60,O$62,O$64,O$66),3)</f>
        <v>58.38003428181459</v>
      </c>
      <c r="P102" s="25">
        <f>LARGE((P$8,P$10,P$12,P$14,P$16,P$18,P$20,P$22,P$24,P$26,P$28,P$30,P$32,P$34,P$36,P$38,P$40,P$42,P$44,P$46,P$48,P$50,P$52,P$54,P$56,P$58,P$60,P$62,P$64,P$66),3)</f>
        <v>69.67229749945497</v>
      </c>
      <c r="Q102" s="25">
        <f>LARGE((Q$8,Q$10,Q$12,Q$14,Q$16,Q$18,Q$20,Q$22,Q$24,Q$26,Q$28,Q$30,Q$32,Q$34,Q$36,Q$38,Q$40,Q$42,Q$44,Q$46,Q$48,Q$50,Q$52,Q$54,Q$56,Q$58,Q$60,Q$62,Q$64,Q$66),3)</f>
        <v>75.58479768312884</v>
      </c>
      <c r="R102" s="25">
        <f>LARGE((R$8,R$10,R$12,R$14,R$16,R$18,R$20,R$22,R$24,R$26,R$28,R$30,R$32,R$34,R$36,R$38,R$40,R$42,R$44,R$46,R$48,R$50,R$52,R$54,R$56,R$58,R$60,R$62,R$64,R$66),3)</f>
        <v>80.50325907696376</v>
      </c>
      <c r="S102" s="25">
        <f>LARGE((S$8,S$10,S$12,S$14,S$16,S$18,S$20,S$22,S$24,S$26,S$28,S$30,S$32,S$34,S$36,S$38,S$40,S$42,S$44,S$46,S$48,S$50,S$52,S$54,S$56,S$58,S$60,S$62,S$64,S$66),3)</f>
        <v>75.97798121598424</v>
      </c>
      <c r="AZ102" s="25"/>
    </row>
  </sheetData>
  <mergeCells count="23">
    <mergeCell ref="A100:C102"/>
    <mergeCell ref="A3:B5"/>
    <mergeCell ref="D2:L2"/>
    <mergeCell ref="E1:K1"/>
    <mergeCell ref="A2:B2"/>
    <mergeCell ref="D3:H3"/>
    <mergeCell ref="I3:M3"/>
    <mergeCell ref="A1:B1"/>
    <mergeCell ref="N3:S3"/>
    <mergeCell ref="T1:V3"/>
    <mergeCell ref="BE1:BF1"/>
    <mergeCell ref="AS1:AY5"/>
    <mergeCell ref="BA1:BA5"/>
    <mergeCell ref="T5:V5"/>
    <mergeCell ref="AN1:AO6"/>
    <mergeCell ref="BB1:BD5"/>
    <mergeCell ref="AP1:AP5"/>
    <mergeCell ref="BP2:BR4"/>
    <mergeCell ref="AY100:BA100"/>
    <mergeCell ref="T4:V4"/>
    <mergeCell ref="BK1:BM4"/>
    <mergeCell ref="BO2:BO3"/>
    <mergeCell ref="BN1:BR1"/>
  </mergeCells>
  <conditionalFormatting sqref="D47:S47 D7:S7 D49:S49 D9:S9 D11:S11 D13:S13 D37:S37 D17:S17 D27:S27 D39:S39 D51:S51 D53:S53 D55:S55 D15:S15 D19:S19 D21:S21 D23:S23 D25:S25 D29:S29 D31:S31 D33:S33 D35:S35 D41:S41 D43:S43 D45:S45 D57:S57 D59:S59 D61:S61 D63:S63 D65:S65 D67:S67 D69:S69 D71:S71 D73:S73 D75:S75 D77:S77 D79:S79 D81:S81 D83:S83 D85:S85">
    <cfRule type="expression" priority="1" dxfId="1" stopIfTrue="1">
      <formula>D8=D$100</formula>
    </cfRule>
    <cfRule type="expression" priority="2" dxfId="3" stopIfTrue="1">
      <formula>D8=D$101</formula>
    </cfRule>
    <cfRule type="expression" priority="3" dxfId="0" stopIfTrue="1">
      <formula>D8=D$102</formula>
    </cfRule>
  </conditionalFormatting>
  <conditionalFormatting sqref="H18 H28 D26:H26 D24:H24 D20:H20 D34:H34 D32:H32 D38:F38 D40:H40 D66:H66 D62:H62 H58 D60:H60 D58:F58 D48:F48 D36:H36 D22:H22 D64:H64 D28:F28 D18:F18 H38 D42:H42 D44:H44 D46:H46 D30:H30 D50:H50 H48 D52:H52 D56:H56 D8:F8 D10:H10 H8 D12:H12 D14:H14 D16:H16 D54:H54 D70:H70 D68:H68 D74:H74 D72:H72 D78:H78 D76:H76 D82:H82 D80:H80 D86:H86 D84:H84">
    <cfRule type="expression" priority="4" dxfId="4" stopIfTrue="1">
      <formula>D8=$AV8</formula>
    </cfRule>
  </conditionalFormatting>
  <conditionalFormatting sqref="G8 G18 G28 G38 G48 G58">
    <cfRule type="expression" priority="5" dxfId="4" stopIfTrue="1">
      <formula>G8=$AV8</formula>
    </cfRule>
  </conditionalFormatting>
  <conditionalFormatting sqref="I8:M8 I10:M10 I12:M12 I14:M14 I16:M16 I48:M48 I50:M50 I52:M52 I54:M54 I56:M56 I18:M18 I20:M20 I22:M22 I24:M24 I26:M26 I28:M28 I30:M30 I66:M66 I34:M34 I36:M36 I38:M38 I40:M40 I42:M42 I44:M44 I46:M46 I58:M58 I60:M60 I62:M62 I64:M64 I32:L32 I70:M70 I68:M68 I74:M74 I72:M72 I78:M78 I76:M76 I82:M82 I80:M80 I86:M86 I84:M84">
    <cfRule type="expression" priority="6" dxfId="4" stopIfTrue="1">
      <formula>I8=$AW8</formula>
    </cfRule>
  </conditionalFormatting>
  <conditionalFormatting sqref="N8:S8 N10:S10 N12:S12 N14:S14 N16:S16 N18:S18 N20:S20 N22:S22 N24:S24 N26:S26 N28:S28 N30:S30 N32:S32 N34:S34 N36:S36 N38:S38 N40:S40 N42:S42 N44:S44 N46:S46 N48:S48 N50:S50 N52:S52 N54:S54 N56:S56 N58:S58 N60:S60 N62:S62 N64:S64 N66:S66 N68:S68 N70:S70 N72:S72 N74:S74 N76:S76 N78:S78 N80:S80 N82:S82 N84:S84 N86:S86">
    <cfRule type="expression" priority="7" dxfId="4" stopIfTrue="1">
      <formula>N8=$AX8</formula>
    </cfRule>
  </conditionalFormatting>
  <conditionalFormatting sqref="M32">
    <cfRule type="expression" priority="8" dxfId="4" stopIfTrue="1">
      <formula>M32=$AW32</formula>
    </cfRule>
  </conditionalFormatting>
  <hyperlinks>
    <hyperlink ref="A1:B1" location="'Front Page'!A1" display="Front Page"/>
  </hyperlinks>
  <printOptions/>
  <pageMargins left="0.75" right="0.75" top="1" bottom="1" header="0.5" footer="0.5"/>
  <pageSetup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dimension ref="A1:AG53"/>
  <sheetViews>
    <sheetView workbookViewId="0" topLeftCell="A1">
      <selection activeCell="G7" sqref="G7"/>
    </sheetView>
  </sheetViews>
  <sheetFormatPr defaultColWidth="9.140625" defaultRowHeight="12.75"/>
  <cols>
    <col min="2" max="2" width="17.00390625" style="0" customWidth="1"/>
    <col min="3" max="3" width="10.8515625" style="0" customWidth="1"/>
    <col min="4" max="4" width="12.140625" style="0" customWidth="1"/>
    <col min="6" max="6" width="10.28125" style="0" customWidth="1"/>
    <col min="8" max="8" width="17.140625" style="0" customWidth="1"/>
    <col min="30" max="30" width="11.421875" style="0" customWidth="1"/>
  </cols>
  <sheetData>
    <row r="1" spans="1:33" ht="12.75">
      <c r="A1" s="20"/>
      <c r="B1" s="20"/>
      <c r="C1" s="20"/>
      <c r="D1" s="20"/>
      <c r="E1" s="20"/>
      <c r="F1" s="20"/>
      <c r="G1" s="20"/>
      <c r="H1" s="20"/>
      <c r="I1" s="20"/>
      <c r="J1" s="20"/>
      <c r="K1" s="20"/>
      <c r="L1" s="20"/>
      <c r="M1" s="20"/>
      <c r="N1" s="20"/>
      <c r="O1" s="20"/>
      <c r="P1" s="20"/>
      <c r="Q1" s="20"/>
      <c r="R1" s="20"/>
      <c r="S1" s="20"/>
      <c r="W1" s="103" t="s">
        <v>170</v>
      </c>
      <c r="X1" s="200" t="s">
        <v>142</v>
      </c>
      <c r="Y1" s="201"/>
      <c r="Z1" s="202">
        <v>1</v>
      </c>
      <c r="AA1" s="201">
        <v>2</v>
      </c>
      <c r="AB1" s="203">
        <v>1</v>
      </c>
      <c r="AC1" s="200" t="s">
        <v>143</v>
      </c>
      <c r="AD1" s="203"/>
      <c r="AE1" s="103"/>
      <c r="AF1" s="103"/>
      <c r="AG1" s="103"/>
    </row>
    <row r="2" spans="1:33" ht="27" customHeight="1">
      <c r="A2" s="20"/>
      <c r="B2" s="61"/>
      <c r="C2" s="80"/>
      <c r="D2" s="293" t="s">
        <v>45</v>
      </c>
      <c r="E2" s="293"/>
      <c r="F2" s="293"/>
      <c r="G2" s="293"/>
      <c r="H2" s="293"/>
      <c r="I2" s="293"/>
      <c r="J2" s="293"/>
      <c r="K2" s="11"/>
      <c r="L2" s="13"/>
      <c r="M2" s="13"/>
      <c r="N2" s="20"/>
      <c r="O2" s="20"/>
      <c r="P2" s="20"/>
      <c r="Q2" s="20"/>
      <c r="R2" s="20"/>
      <c r="S2" s="20"/>
      <c r="W2" s="103" t="s">
        <v>171</v>
      </c>
      <c r="X2" s="204">
        <v>1</v>
      </c>
      <c r="Y2" s="205" t="s">
        <v>5</v>
      </c>
      <c r="Z2" s="205" t="str">
        <f>VLOOKUP(Z1,X2:Y3,2,FALSE)</f>
        <v>Male</v>
      </c>
      <c r="AA2" s="205" t="s">
        <v>55</v>
      </c>
      <c r="AB2" s="206" t="s">
        <v>5</v>
      </c>
      <c r="AC2" s="204" t="str">
        <f>VLOOKUP($AD$2,AC4:AD33,2,FALSE)</f>
        <v>Shelley Childs</v>
      </c>
      <c r="AD2" s="207">
        <v>17</v>
      </c>
      <c r="AE2" s="103" t="str">
        <f>CONCATENATE(AC2,"Points")</f>
        <v>Shelley ChildsPoints</v>
      </c>
      <c r="AF2" s="103"/>
      <c r="AG2" s="103"/>
    </row>
    <row r="3" spans="1:30" ht="8.25" customHeight="1" thickBot="1">
      <c r="A3" s="20"/>
      <c r="B3" s="20"/>
      <c r="C3" s="20"/>
      <c r="D3" s="20"/>
      <c r="E3" s="20"/>
      <c r="F3" s="20"/>
      <c r="G3" s="20"/>
      <c r="H3" s="20"/>
      <c r="I3" s="20"/>
      <c r="J3" s="20"/>
      <c r="K3" s="20"/>
      <c r="L3" s="20"/>
      <c r="M3" s="20"/>
      <c r="N3" s="20"/>
      <c r="O3" s="20"/>
      <c r="P3" s="20"/>
      <c r="Q3" s="20"/>
      <c r="R3" s="20"/>
      <c r="S3" s="20"/>
      <c r="X3" s="156">
        <v>2</v>
      </c>
      <c r="Y3" s="157" t="s">
        <v>55</v>
      </c>
      <c r="Z3" s="157"/>
      <c r="AA3" s="157"/>
      <c r="AB3" s="158"/>
      <c r="AC3" s="156"/>
      <c r="AD3" s="158"/>
    </row>
    <row r="4" spans="1:30" ht="27" customHeight="1" thickBot="1">
      <c r="A4" s="20"/>
      <c r="B4" s="20"/>
      <c r="C4" s="17"/>
      <c r="D4" s="159"/>
      <c r="E4" s="140"/>
      <c r="F4" s="20"/>
      <c r="G4" s="20"/>
      <c r="H4" s="20"/>
      <c r="I4" s="20"/>
      <c r="J4" s="20"/>
      <c r="K4" s="224" t="s">
        <v>140</v>
      </c>
      <c r="L4" s="225"/>
      <c r="M4" s="20"/>
      <c r="N4" s="20"/>
      <c r="O4" s="20"/>
      <c r="P4" s="20"/>
      <c r="Q4" s="20"/>
      <c r="R4" s="20"/>
      <c r="S4" s="20"/>
      <c r="AA4" s="155" t="str">
        <f>'League Races Female'!A7</f>
        <v>Kate O'Sullivan</v>
      </c>
      <c r="AB4" s="155" t="str">
        <f>'League Races Male'!A7</f>
        <v>Dave Powell</v>
      </c>
      <c r="AC4">
        <v>1</v>
      </c>
      <c r="AD4" t="str">
        <f>IF($Z$2="FEMale",AA4,IF($Z$2="male",AB4,"Select Sex"))</f>
        <v>Dave Powell</v>
      </c>
    </row>
    <row r="5" spans="1:30" ht="9" customHeight="1" thickBot="1">
      <c r="A5" s="20"/>
      <c r="B5" s="20"/>
      <c r="C5" s="20"/>
      <c r="D5" s="20"/>
      <c r="E5" s="140"/>
      <c r="F5" s="20"/>
      <c r="G5" s="20"/>
      <c r="H5" s="20"/>
      <c r="I5" s="20"/>
      <c r="J5" s="20"/>
      <c r="K5" s="294"/>
      <c r="L5" s="295"/>
      <c r="M5" s="20"/>
      <c r="N5" s="20"/>
      <c r="O5" s="20"/>
      <c r="P5" s="20"/>
      <c r="Q5" s="20"/>
      <c r="R5" s="20"/>
      <c r="S5" s="20"/>
      <c r="AA5" s="40" t="str">
        <f>'League Races Female'!A9</f>
        <v>Glenda Roberts</v>
      </c>
      <c r="AB5" s="40" t="str">
        <f>'League Races Male'!A9</f>
        <v>Geoff Oldrid</v>
      </c>
      <c r="AC5">
        <v>2</v>
      </c>
      <c r="AD5" t="str">
        <f aca="true" t="shared" si="0" ref="AD5:AD33">IF($Z$2="feMale",AA5,IF($Z$2="male",AB5,""))</f>
        <v>Geoff Oldrid</v>
      </c>
    </row>
    <row r="6" spans="1:30" ht="14.25" customHeight="1" thickBot="1">
      <c r="A6" s="20"/>
      <c r="B6" s="20"/>
      <c r="C6" s="20"/>
      <c r="D6" s="140"/>
      <c r="E6" s="140"/>
      <c r="F6" s="20"/>
      <c r="G6" s="20"/>
      <c r="H6" s="20"/>
      <c r="I6" s="20"/>
      <c r="J6" s="20"/>
      <c r="K6" s="20"/>
      <c r="L6" s="20"/>
      <c r="M6" s="20"/>
      <c r="N6" s="20"/>
      <c r="O6" s="20"/>
      <c r="P6" s="20"/>
      <c r="Q6" s="20"/>
      <c r="R6" s="20"/>
      <c r="S6" s="20"/>
      <c r="AA6" s="40" t="str">
        <f>'League Races Female'!A11</f>
        <v>Gwen Parry</v>
      </c>
      <c r="AB6" s="40" t="str">
        <f>'League Races Male'!A11</f>
        <v>Kevin Holland</v>
      </c>
      <c r="AC6">
        <v>3</v>
      </c>
      <c r="AD6" t="str">
        <f t="shared" si="0"/>
        <v>Kevin Holland</v>
      </c>
    </row>
    <row r="7" spans="1:30" ht="27.75" customHeight="1" thickBot="1">
      <c r="A7" s="20"/>
      <c r="B7" s="309" t="s">
        <v>38</v>
      </c>
      <c r="C7" s="310"/>
      <c r="D7" s="165" t="s">
        <v>89</v>
      </c>
      <c r="E7" s="166" t="s">
        <v>37</v>
      </c>
      <c r="F7" s="167" t="s">
        <v>144</v>
      </c>
      <c r="G7" s="20"/>
      <c r="H7" s="301" t="s">
        <v>38</v>
      </c>
      <c r="I7" s="302"/>
      <c r="J7" s="303" t="str">
        <f>IF($Z$2="Male",VLOOKUP('Personal Analysis'!$AC$2,'League Races Male'!$A$7:$V$66,1,FALSE),IF($Z$2="Female",VLOOKUP('Personal Analysis'!$AC$2,'League Races Female'!$A$7:$V$66,1,FALSE),""))</f>
        <v>Shelley Childs</v>
      </c>
      <c r="K7" s="304"/>
      <c r="L7" s="305"/>
      <c r="M7" s="20"/>
      <c r="N7" s="20"/>
      <c r="O7" s="20"/>
      <c r="P7" s="20"/>
      <c r="Q7" s="20"/>
      <c r="R7" s="20"/>
      <c r="S7" s="20"/>
      <c r="AA7" s="40" t="str">
        <f>'League Races Female'!A13</f>
        <v>Megan Williams</v>
      </c>
      <c r="AB7" s="40" t="str">
        <f>'League Races Male'!A13</f>
        <v>John Evans</v>
      </c>
      <c r="AC7">
        <v>4</v>
      </c>
      <c r="AD7" t="str">
        <f t="shared" si="0"/>
        <v>John Evans</v>
      </c>
    </row>
    <row r="8" spans="1:30" ht="14.25" thickBot="1">
      <c r="A8" s="20"/>
      <c r="B8" s="327" t="s">
        <v>116</v>
      </c>
      <c r="C8" s="328"/>
      <c r="D8" s="182">
        <f>IF($Z$2="Male",VLOOKUP('Personal Analysis'!$AC$2,'League Races Male'!$A$7:$V$86,$AF11,FALSE),IF($Z$2="Female",VLOOKUP('Personal Analysis'!$AC$2,'League Races Female'!$A$7:$V$86,$AF11,FALSE),""))</f>
        <v>0.013449074074074073</v>
      </c>
      <c r="E8" s="183">
        <f>IF($Z$2="Male",VLOOKUP('Personal Analysis'!$AE$2,'League Races Male'!$A$7:$V$86,$AF11,FALSE),IF($Z$2="Female",VLOOKUP('Personal Analysis'!$AE$2,'League Races Female'!$A$7:$V$86,$AF11,FALSE),""))</f>
        <v>68.5546445639687</v>
      </c>
      <c r="F8" s="346">
        <f>E38</f>
        <v>70.62100796394647</v>
      </c>
      <c r="G8" s="20"/>
      <c r="H8" s="296" t="s">
        <v>4</v>
      </c>
      <c r="I8" s="297"/>
      <c r="J8" s="306">
        <f>IF($Z$2="Male",VLOOKUP('Personal Analysis'!$AC$2,'League Races Male'!$A$7:$V$66,2,FALSE),IF($Z$2="Female",VLOOKUP('Personal Analysis'!$AC$2,'League Races Female'!$A$7:$V$66,2,FALSE),""))</f>
        <v>34</v>
      </c>
      <c r="K8" s="307"/>
      <c r="L8" s="308"/>
      <c r="M8" s="20"/>
      <c r="N8" s="20"/>
      <c r="O8" s="20"/>
      <c r="P8" s="20"/>
      <c r="Q8" s="20"/>
      <c r="R8" s="20"/>
      <c r="S8" s="20"/>
      <c r="AA8" s="40" t="str">
        <f>'League Races Female'!A15</f>
        <v>Louise Barker</v>
      </c>
      <c r="AB8" s="40" t="str">
        <f>'League Races Male'!A15</f>
        <v>Arwel James</v>
      </c>
      <c r="AC8">
        <v>5</v>
      </c>
      <c r="AD8" t="str">
        <f t="shared" si="0"/>
        <v>Arwel James</v>
      </c>
    </row>
    <row r="9" spans="1:30" ht="14.25" thickBot="1">
      <c r="A9" s="20"/>
      <c r="B9" s="329" t="s">
        <v>13</v>
      </c>
      <c r="C9" s="330"/>
      <c r="D9" s="146">
        <f>IF($Z$2="Male",VLOOKUP('Personal Analysis'!$AC$2,'League Races Male'!$A$7:$V$86,$AF12,FALSE),IF($Z$2="Female",VLOOKUP('Personal Analysis'!$AC$2,'League Races Female'!$A$7:$V$86,$AF12,FALSE),""))</f>
        <v>0.013391203703703704</v>
      </c>
      <c r="E9" s="184">
        <f>IF($Z$2="Male",VLOOKUP('Personal Analysis'!$AE$2,'League Races Male'!$A$7:$V$86,$AF12,FALSE),IF($Z$2="Female",VLOOKUP('Personal Analysis'!$AE$2,'League Races Female'!$A$7:$V$86,$AF12,FALSE),""))</f>
        <v>68.85090491212759</v>
      </c>
      <c r="F9" s="346"/>
      <c r="G9" s="20"/>
      <c r="H9" s="296" t="s">
        <v>165</v>
      </c>
      <c r="I9" s="297"/>
      <c r="J9" s="306">
        <f>E44</f>
        <v>7</v>
      </c>
      <c r="K9" s="307"/>
      <c r="L9" s="308"/>
      <c r="M9" s="20"/>
      <c r="N9" s="20"/>
      <c r="O9" s="20"/>
      <c r="P9" s="20"/>
      <c r="Q9" s="20"/>
      <c r="R9" s="20"/>
      <c r="S9" s="20"/>
      <c r="AA9" s="40" t="str">
        <f>'League Races Female'!A17</f>
        <v>Bridget Parkinson</v>
      </c>
      <c r="AB9" s="40" t="str">
        <f>'League Races Male'!A17</f>
        <v>Martyn Saycell</v>
      </c>
      <c r="AC9">
        <v>6</v>
      </c>
      <c r="AD9" t="str">
        <f t="shared" si="0"/>
        <v>Martyn Saycell</v>
      </c>
    </row>
    <row r="10" spans="1:30" ht="14.25" customHeight="1" thickBot="1">
      <c r="A10" s="20"/>
      <c r="B10" s="329" t="s">
        <v>14</v>
      </c>
      <c r="C10" s="330"/>
      <c r="D10" s="146">
        <f>IF($Z$2="Male",VLOOKUP('Personal Analysis'!$AC$2,'League Races Male'!$A$7:$V$86,$AF13,FALSE),IF($Z$2="Female",VLOOKUP('Personal Analysis'!$AC$2,'League Races Female'!$A$7:$V$86,$AF13,FALSE),""))</f>
        <v>0</v>
      </c>
      <c r="E10" s="184">
        <f>IF($Z$2="Male",VLOOKUP('Personal Analysis'!$AE$2,'League Races Male'!$A$7:$V$86,$AF13,FALSE),IF($Z$2="Female",VLOOKUP('Personal Analysis'!$AE$2,'League Races Female'!$A$7:$V$86,$AF13,FALSE),""))</f>
      </c>
      <c r="F10" s="346"/>
      <c r="G10" s="20"/>
      <c r="H10" s="296" t="s">
        <v>62</v>
      </c>
      <c r="I10" s="297"/>
      <c r="J10" s="356">
        <f>F24+F18+F13+F8</f>
        <v>281.62857079709363</v>
      </c>
      <c r="K10" s="357"/>
      <c r="L10" s="358"/>
      <c r="M10" s="20"/>
      <c r="N10" s="20"/>
      <c r="O10" s="20"/>
      <c r="P10" s="20"/>
      <c r="Q10" s="20"/>
      <c r="R10" s="20"/>
      <c r="S10" s="20"/>
      <c r="AA10" s="40" t="str">
        <f>'League Races Female'!A19</f>
        <v>Anita Saycell</v>
      </c>
      <c r="AB10" s="40" t="str">
        <f>'League Races Male'!A19</f>
        <v>Tony Wenlock</v>
      </c>
      <c r="AC10">
        <v>7</v>
      </c>
      <c r="AD10" t="str">
        <f t="shared" si="0"/>
        <v>Tony Wenlock</v>
      </c>
    </row>
    <row r="11" spans="1:32" ht="15.75" customHeight="1" thickBot="1">
      <c r="A11" s="20"/>
      <c r="B11" s="329" t="s">
        <v>15</v>
      </c>
      <c r="C11" s="330"/>
      <c r="D11" s="146">
        <f>IF($Z$2="Male",VLOOKUP('Personal Analysis'!$AC$2,'League Races Male'!$A$7:$V$86,$AF14,FALSE),IF($Z$2="Female",VLOOKUP('Personal Analysis'!$AC$2,'League Races Female'!$A$7:$V$86,$AF14,FALSE),""))</f>
        <v>0.013055555555555556</v>
      </c>
      <c r="E11" s="184">
        <f>IF($Z$2="Male",VLOOKUP('Personal Analysis'!$AE$2,'League Races Male'!$A$7:$V$86,$AF14,FALSE),IF($Z$2="Female",VLOOKUP('Personal Analysis'!$AE$2,'League Races Female'!$A$7:$V$86,$AF14,FALSE),""))</f>
        <v>70.62100796394647</v>
      </c>
      <c r="F11" s="346"/>
      <c r="G11" s="20"/>
      <c r="H11" s="296" t="s">
        <v>166</v>
      </c>
      <c r="I11" s="297"/>
      <c r="J11" s="298">
        <f>IF(COUNTIF(E8:E12,"")&lt;=3,STDEV(E8:E12),"Insufficient Races")</f>
        <v>2.2680906412608164</v>
      </c>
      <c r="K11" s="299"/>
      <c r="L11" s="300"/>
      <c r="M11" s="20"/>
      <c r="N11" s="20"/>
      <c r="O11" s="20"/>
      <c r="P11" s="20"/>
      <c r="Q11" s="20"/>
      <c r="R11" s="20"/>
      <c r="S11" s="20"/>
      <c r="AA11" s="40" t="str">
        <f>'League Races Female'!A21</f>
        <v>Helen Williams</v>
      </c>
      <c r="AB11" s="40" t="str">
        <f>'League Races Male'!A21</f>
        <v>Clive Williams</v>
      </c>
      <c r="AC11">
        <v>8</v>
      </c>
      <c r="AD11" t="str">
        <f t="shared" si="0"/>
        <v>Clive Williams</v>
      </c>
      <c r="AF11">
        <v>4</v>
      </c>
    </row>
    <row r="12" spans="1:32" ht="14.25" thickBot="1">
      <c r="A12" s="20"/>
      <c r="B12" s="321" t="s">
        <v>117</v>
      </c>
      <c r="C12" s="322"/>
      <c r="D12" s="149">
        <f>IF($Z$2="Male",VLOOKUP('Personal Analysis'!$AC$2,'League Races Male'!$A$7:$V$86,$AF15,FALSE),IF($Z$2="Female",VLOOKUP('Personal Analysis'!$AC$2,'League Races Female'!$A$7:$V$86,$AF15,FALSE),""))</f>
        <v>0.014143402777777777</v>
      </c>
      <c r="E12" s="185">
        <f>IF($Z$2="Male",VLOOKUP('Personal Analysis'!$AE$2,'League Races Male'!$A$7:$V$86,$AF15,FALSE),IF($Z$2="Female",VLOOKUP('Personal Analysis'!$AE$2,'League Races Female'!$A$7:$V$86,$AF15,FALSE),""))</f>
        <v>65.18915619876728</v>
      </c>
      <c r="F12" s="347"/>
      <c r="G12" s="20"/>
      <c r="H12" s="296" t="s">
        <v>167</v>
      </c>
      <c r="I12" s="297"/>
      <c r="J12" s="298">
        <f>IF(COUNTIF(E13:E17,"")&lt;=3,STDEV(E13:E17),"Insufficient Races")</f>
        <v>3.5839162334465646</v>
      </c>
      <c r="K12" s="299"/>
      <c r="L12" s="300"/>
      <c r="M12" s="20"/>
      <c r="N12" s="20"/>
      <c r="O12" s="20"/>
      <c r="P12" s="20"/>
      <c r="Q12" s="20"/>
      <c r="R12" s="20"/>
      <c r="S12" s="20"/>
      <c r="AA12" s="40" t="str">
        <f>'League Races Female'!A23</f>
        <v>Sarah Birch</v>
      </c>
      <c r="AB12" s="40" t="str">
        <f>'League Races Male'!A23</f>
        <v>Paul Arnold</v>
      </c>
      <c r="AC12">
        <v>9</v>
      </c>
      <c r="AD12" t="str">
        <f t="shared" si="0"/>
        <v>Paul Arnold</v>
      </c>
      <c r="AF12">
        <v>5</v>
      </c>
    </row>
    <row r="13" spans="1:32" ht="14.25" thickBot="1">
      <c r="A13" s="20"/>
      <c r="B13" s="323" t="s">
        <v>16</v>
      </c>
      <c r="C13" s="324"/>
      <c r="D13" s="182">
        <f>IF($Z$2="Male",VLOOKUP('Personal Analysis'!$AC$2,'League Races Male'!$A$7:$V$86,$AF16,FALSE),IF($Z$2="Female",VLOOKUP('Personal Analysis'!$AC$2,'League Races Female'!$A$7:$V$86,$AF16,FALSE),""))</f>
        <v>0</v>
      </c>
      <c r="E13" s="183">
        <f>IF($Z$2="Male",VLOOKUP('Personal Analysis'!$AE$2,'League Races Male'!$A$7:$V$86,$AF16,FALSE),IF($Z$2="Female",VLOOKUP('Personal Analysis'!$AE$2,'League Races Female'!$A$7:$V$86,$AF16,FALSE),""))</f>
      </c>
      <c r="F13" s="348">
        <f>E39</f>
        <v>75.15285371740366</v>
      </c>
      <c r="G13" s="20"/>
      <c r="H13" s="296" t="s">
        <v>168</v>
      </c>
      <c r="I13" s="297"/>
      <c r="J13" s="298" t="str">
        <f>IF(COUNTIF(E18:E23,"")&lt;=4,STDEV(E18:E23),"Insufficient Races")</f>
        <v>Insufficient Races</v>
      </c>
      <c r="K13" s="299"/>
      <c r="L13" s="300"/>
      <c r="M13" s="20"/>
      <c r="N13" s="20"/>
      <c r="O13" s="20"/>
      <c r="P13" s="20"/>
      <c r="Q13" s="20"/>
      <c r="R13" s="20"/>
      <c r="S13" s="20"/>
      <c r="AA13" s="40" t="str">
        <f>'League Races Female'!A25</f>
        <v>Anita Worthing</v>
      </c>
      <c r="AB13" s="40" t="str">
        <f>'League Races Male'!A25</f>
        <v>Adriano Evola</v>
      </c>
      <c r="AC13">
        <v>10</v>
      </c>
      <c r="AD13" t="str">
        <f t="shared" si="0"/>
        <v>Adriano Evola</v>
      </c>
      <c r="AF13">
        <v>6</v>
      </c>
    </row>
    <row r="14" spans="1:32" ht="14.25" thickBot="1">
      <c r="A14" s="20"/>
      <c r="B14" s="325" t="s">
        <v>17</v>
      </c>
      <c r="C14" s="326"/>
      <c r="D14" s="146">
        <f>IF($Z$2="Male",VLOOKUP('Personal Analysis'!$AC$2,'League Races Male'!$A$7:$V$86,$AF17,FALSE),IF($Z$2="Female",VLOOKUP('Personal Analysis'!$AC$2,'League Races Female'!$A$7:$V$86,$AF17,FALSE),""))</f>
        <v>0</v>
      </c>
      <c r="E14" s="184">
        <f>IF($Z$2="Male",VLOOKUP('Personal Analysis'!$AE$2,'League Races Male'!$A$7:$V$86,$AF17,FALSE),IF($Z$2="Female",VLOOKUP('Personal Analysis'!$AE$2,'League Races Female'!$A$7:$V$86,$AF17,FALSE),""))</f>
      </c>
      <c r="F14" s="348"/>
      <c r="G14" s="20"/>
      <c r="H14" s="359" t="s">
        <v>169</v>
      </c>
      <c r="I14" s="360"/>
      <c r="J14" s="361">
        <f>IF(COUNTIF(E8:E24,"")&lt;=15,STDEV(E8:E24),"Insufficient Races")</f>
        <v>3.1017453629440723</v>
      </c>
      <c r="K14" s="362"/>
      <c r="L14" s="363"/>
      <c r="M14" s="20"/>
      <c r="N14" s="20"/>
      <c r="O14" s="20"/>
      <c r="P14" s="20"/>
      <c r="Q14" s="20"/>
      <c r="R14" s="20"/>
      <c r="S14" s="20"/>
      <c r="AA14" s="40" t="str">
        <f>'League Races Female'!A27</f>
        <v>Anwen James</v>
      </c>
      <c r="AB14" s="40" t="str">
        <f>'League Races Male'!A27</f>
        <v>Brian Ashton</v>
      </c>
      <c r="AC14">
        <v>11</v>
      </c>
      <c r="AD14" t="str">
        <f t="shared" si="0"/>
        <v>Brian Ashton</v>
      </c>
      <c r="AF14">
        <v>7</v>
      </c>
    </row>
    <row r="15" spans="1:32" ht="15.75" customHeight="1" thickBot="1">
      <c r="A15" s="20"/>
      <c r="B15" s="325" t="s">
        <v>28</v>
      </c>
      <c r="C15" s="326"/>
      <c r="D15" s="146">
        <f>IF($Z$2="Male",VLOOKUP('Personal Analysis'!$AC$2,'League Races Male'!$A$7:$V$86,$AF18,FALSE),IF($Z$2="Female",VLOOKUP('Personal Analysis'!$AC$2,'League Races Female'!$A$7:$V$86,$AF18,FALSE),""))</f>
        <v>0</v>
      </c>
      <c r="E15" s="184">
        <f>IF($Z$2="Male",VLOOKUP('Personal Analysis'!$AE$2,'League Races Male'!$A$7:$V$86,$AF18,FALSE),IF($Z$2="Female",VLOOKUP('Personal Analysis'!$AE$2,'League Races Female'!$A$7:$V$86,$AF18,FALSE),""))</f>
      </c>
      <c r="F15" s="348"/>
      <c r="G15" s="20"/>
      <c r="H15" s="20"/>
      <c r="I15" s="20"/>
      <c r="J15" s="20"/>
      <c r="K15" s="20"/>
      <c r="L15" s="20"/>
      <c r="M15" s="20"/>
      <c r="N15" s="20"/>
      <c r="O15" s="20"/>
      <c r="P15" s="20"/>
      <c r="Q15" s="20"/>
      <c r="R15" s="20"/>
      <c r="S15" s="20"/>
      <c r="AA15" s="40" t="str">
        <f>'League Races Female'!A29</f>
        <v>Carys Prytherch</v>
      </c>
      <c r="AB15" s="40" t="str">
        <f>'League Races Male'!A29</f>
        <v>Pete Foale</v>
      </c>
      <c r="AC15">
        <v>12</v>
      </c>
      <c r="AD15" t="str">
        <f t="shared" si="0"/>
        <v>Pete Foale</v>
      </c>
      <c r="AF15">
        <v>8</v>
      </c>
    </row>
    <row r="16" spans="1:32" ht="14.25" thickBot="1">
      <c r="A16" s="20"/>
      <c r="B16" s="325" t="s">
        <v>29</v>
      </c>
      <c r="C16" s="326"/>
      <c r="D16" s="146">
        <f>IF($Z$2="Male",VLOOKUP('Personal Analysis'!$AC$2,'League Races Male'!$A$7:$V$86,$AF19,FALSE),IF($Z$2="Female",VLOOKUP('Personal Analysis'!$AC$2,'League Races Female'!$A$7:$V$86,$AF19,FALSE),""))</f>
        <v>0.02091435185185185</v>
      </c>
      <c r="E16" s="184">
        <f>IF($Z$2="Male",VLOOKUP('Personal Analysis'!$AE$2,'League Races Male'!$A$7:$V$86,$AF19,FALSE),IF($Z$2="Female",VLOOKUP('Personal Analysis'!$AE$2,'League Races Female'!$A$7:$V$86,$AF19,FALSE),""))</f>
        <v>75.15285371740366</v>
      </c>
      <c r="F16" s="348"/>
      <c r="G16" s="20"/>
      <c r="H16" s="20"/>
      <c r="I16" s="20"/>
      <c r="J16" s="20"/>
      <c r="K16" s="20"/>
      <c r="L16" s="20"/>
      <c r="M16" s="20"/>
      <c r="N16" s="20"/>
      <c r="O16" s="20"/>
      <c r="P16" s="20"/>
      <c r="Q16" s="20"/>
      <c r="R16" s="20"/>
      <c r="S16" s="20"/>
      <c r="AA16" s="40" t="str">
        <f>'League Races Female'!A31</f>
        <v>Karen Williams</v>
      </c>
      <c r="AB16" s="40" t="str">
        <f>'League Races Male'!A31</f>
        <v>Clive Evans</v>
      </c>
      <c r="AC16">
        <v>13</v>
      </c>
      <c r="AD16" t="str">
        <f t="shared" si="0"/>
        <v>Clive Evans</v>
      </c>
      <c r="AF16">
        <v>9</v>
      </c>
    </row>
    <row r="17" spans="1:32" ht="14.25" thickBot="1">
      <c r="A17" s="20"/>
      <c r="B17" s="340" t="s">
        <v>18</v>
      </c>
      <c r="C17" s="341"/>
      <c r="D17" s="186">
        <f>IF($Z$2="Male",VLOOKUP('Personal Analysis'!$AC$2,'League Races Male'!$A$7:$V$86,$AF20,FALSE),IF($Z$2="Female",VLOOKUP('Personal Analysis'!$AC$2,'League Races Female'!$A$7:$V$86,$AF20,FALSE),""))</f>
        <v>0.02766203703703704</v>
      </c>
      <c r="E17" s="187">
        <f>IF($Z$2="Male",VLOOKUP('Personal Analysis'!$AE$2,'League Races Male'!$A$7:$V$86,$AF20,FALSE),IF($Z$2="Female",VLOOKUP('Personal Analysis'!$AE$2,'League Races Female'!$A$7:$V$86,$AF20,FALSE),""))</f>
        <v>70.08443077365423</v>
      </c>
      <c r="F17" s="348"/>
      <c r="G17" s="20"/>
      <c r="H17" s="20"/>
      <c r="I17" s="20"/>
      <c r="J17" s="20"/>
      <c r="K17" s="20"/>
      <c r="L17" s="20"/>
      <c r="M17" s="20"/>
      <c r="N17" s="20"/>
      <c r="O17" s="20"/>
      <c r="P17" s="20"/>
      <c r="Q17" s="20"/>
      <c r="R17" s="20"/>
      <c r="S17" s="20"/>
      <c r="AA17" s="40" t="str">
        <f>'League Races Female'!A33</f>
        <v>Sian Thomas</v>
      </c>
      <c r="AB17" s="40" t="str">
        <f>'League Races Male'!A33</f>
        <v>Geraint Evans</v>
      </c>
      <c r="AC17">
        <v>14</v>
      </c>
      <c r="AD17" t="str">
        <f t="shared" si="0"/>
        <v>Geraint Evans</v>
      </c>
      <c r="AF17">
        <v>10</v>
      </c>
    </row>
    <row r="18" spans="1:32" ht="14.25" thickBot="1">
      <c r="A18" s="20"/>
      <c r="B18" s="342" t="s">
        <v>30</v>
      </c>
      <c r="C18" s="343"/>
      <c r="D18" s="188">
        <f>IF($Z$2="Male",VLOOKUP('Personal Analysis'!$AC$2,'League Races Male'!$A$7:$V$86,$AF21,FALSE),IF($Z$2="Female",VLOOKUP('Personal Analysis'!$AC$2,'League Races Female'!$A$7:$V$86,$AF21,FALSE),""))</f>
        <v>0</v>
      </c>
      <c r="E18" s="189">
        <f>IF($Z$2="Male",VLOOKUP('Personal Analysis'!$AE$2,'League Races Male'!$A$7:$V$86,$AF21,FALSE),IF($Z$2="Female",VLOOKUP('Personal Analysis'!$AE$2,'League Races Female'!$A$7:$V$86,$AF21,FALSE),""))</f>
      </c>
      <c r="F18" s="349">
        <f>E40</f>
        <v>65.7702783420893</v>
      </c>
      <c r="G18" s="20"/>
      <c r="H18" s="20"/>
      <c r="I18" s="20"/>
      <c r="J18" s="20"/>
      <c r="K18" s="20"/>
      <c r="L18" s="20"/>
      <c r="M18" s="20"/>
      <c r="N18" s="20"/>
      <c r="O18" s="20"/>
      <c r="P18" s="20"/>
      <c r="Q18" s="20"/>
      <c r="R18" s="20"/>
      <c r="S18" s="20"/>
      <c r="AA18" s="40" t="str">
        <f>'League Races Female'!A35</f>
        <v>Gwen Clements</v>
      </c>
      <c r="AB18" s="40" t="str">
        <f>'League Races Male'!A35</f>
        <v>Daniel Burgess</v>
      </c>
      <c r="AC18">
        <v>15</v>
      </c>
      <c r="AD18" t="str">
        <f t="shared" si="0"/>
        <v>Daniel Burgess</v>
      </c>
      <c r="AF18">
        <v>11</v>
      </c>
    </row>
    <row r="19" spans="1:32" ht="14.25" thickBot="1">
      <c r="A19" s="20"/>
      <c r="B19" s="352" t="s">
        <v>31</v>
      </c>
      <c r="C19" s="353"/>
      <c r="D19" s="146">
        <f>IF($Z$2="Male",VLOOKUP('Personal Analysis'!$AC$2,'League Races Male'!$A$7:$V$86,$AF22,FALSE),IF($Z$2="Female",VLOOKUP('Personal Analysis'!$AC$2,'League Races Female'!$A$7:$V$86,$AF22,FALSE),""))</f>
        <v>0</v>
      </c>
      <c r="E19" s="184">
        <f>IF($Z$2="Male",VLOOKUP('Personal Analysis'!$AE$2,'League Races Male'!$A$7:$V$86,$AF22,FALSE),IF($Z$2="Female",VLOOKUP('Personal Analysis'!$AE$2,'League Races Female'!$A$7:$V$86,$AF22,FALSE),""))</f>
      </c>
      <c r="F19" s="350"/>
      <c r="G19" s="20"/>
      <c r="H19" s="20"/>
      <c r="I19" s="20"/>
      <c r="J19" s="20"/>
      <c r="K19" s="20"/>
      <c r="L19" s="20"/>
      <c r="M19" s="20"/>
      <c r="N19" s="20"/>
      <c r="O19" s="20"/>
      <c r="P19" s="20"/>
      <c r="Q19" s="20"/>
      <c r="R19" s="20"/>
      <c r="S19" s="20"/>
      <c r="AA19" s="40" t="str">
        <f>'League Races Female'!A37</f>
        <v>Marion Garson</v>
      </c>
      <c r="AB19" s="40" t="str">
        <f>'League Races Male'!A37</f>
        <v>Paul Scullion</v>
      </c>
      <c r="AC19">
        <v>16</v>
      </c>
      <c r="AD19" t="str">
        <f t="shared" si="0"/>
        <v>Paul Scullion</v>
      </c>
      <c r="AF19">
        <v>12</v>
      </c>
    </row>
    <row r="20" spans="1:32" ht="20.25" thickBot="1">
      <c r="A20" s="20"/>
      <c r="B20" s="352" t="s">
        <v>32</v>
      </c>
      <c r="C20" s="353"/>
      <c r="D20" s="146">
        <f>IF($Z$2="Male",VLOOKUP('Personal Analysis'!$AC$2,'League Races Male'!$A$7:$V$86,$AF23,FALSE),IF($Z$2="Female",VLOOKUP('Personal Analysis'!$AC$2,'League Races Female'!$A$7:$V$86,$AF23,FALSE),""))</f>
        <v>0</v>
      </c>
      <c r="E20" s="184">
        <f>IF($Z$2="Male",VLOOKUP('Personal Analysis'!$AE$2,'League Races Male'!$A$7:$V$86,$AF23,FALSE),IF($Z$2="Female",VLOOKUP('Personal Analysis'!$AE$2,'League Races Female'!$A$7:$V$86,$AF23,FALSE),""))</f>
      </c>
      <c r="F20" s="350"/>
      <c r="G20" s="20"/>
      <c r="H20" s="317" t="str">
        <f>IF(AND(F42=9,E44&gt;=4),"Qualified","Not Qualified")</f>
        <v>Qualified</v>
      </c>
      <c r="I20" s="318"/>
      <c r="J20" s="319"/>
      <c r="K20" s="319"/>
      <c r="L20" s="320"/>
      <c r="M20" s="20"/>
      <c r="N20" s="20"/>
      <c r="O20" s="20"/>
      <c r="P20" s="20"/>
      <c r="Q20" s="20"/>
      <c r="R20" s="20"/>
      <c r="S20" s="20"/>
      <c r="AA20" s="40" t="str">
        <f>'League Races Female'!A39</f>
        <v>Anna Bradley</v>
      </c>
      <c r="AB20" s="40" t="str">
        <f>'League Races Male'!A39</f>
        <v>Shelley Childs</v>
      </c>
      <c r="AC20">
        <v>17</v>
      </c>
      <c r="AD20" t="str">
        <f t="shared" si="0"/>
        <v>Shelley Childs</v>
      </c>
      <c r="AF20">
        <v>13</v>
      </c>
    </row>
    <row r="21" spans="1:32" ht="14.25" thickBot="1">
      <c r="A21" s="20"/>
      <c r="B21" s="352" t="s">
        <v>33</v>
      </c>
      <c r="C21" s="353"/>
      <c r="D21" s="146">
        <f>IF($Z$2="Male",VLOOKUP('Personal Analysis'!$AC$2,'League Races Male'!$A$7:$V$86,$AF24,FALSE),IF($Z$2="Female",VLOOKUP('Personal Analysis'!$AC$2,'League Races Female'!$A$7:$V$86,$AF24,FALSE),""))</f>
        <v>0</v>
      </c>
      <c r="E21" s="184">
        <f>IF($Z$2="Male",VLOOKUP('Personal Analysis'!$AE$2,'League Races Male'!$A$7:$V$86,$AF24,FALSE),IF($Z$2="Female",VLOOKUP('Personal Analysis'!$AE$2,'League Races Female'!$A$7:$V$86,$AF24,FALSE),""))</f>
      </c>
      <c r="F21" s="350"/>
      <c r="G21" s="20"/>
      <c r="H21" s="311" t="str">
        <f>IF(AND(H20="Not Qualified",F24=0),VLOOKUP(F42,G41:H48,2,FALSE),IF(AND(H20="Qualified",F24=0),H49,H50))</f>
        <v>Final Points Total</v>
      </c>
      <c r="I21" s="312"/>
      <c r="J21" s="312"/>
      <c r="K21" s="312"/>
      <c r="L21" s="313"/>
      <c r="M21" s="20"/>
      <c r="N21" s="20"/>
      <c r="O21" s="20"/>
      <c r="P21" s="20"/>
      <c r="Q21" s="20"/>
      <c r="R21" s="20"/>
      <c r="S21" s="20"/>
      <c r="AA21" s="40" t="str">
        <f>'League Races Female'!A41</f>
        <v>Tina Hansen</v>
      </c>
      <c r="AB21" s="40" t="str">
        <f>'League Races Male'!A41</f>
        <v>Tomos Hywel</v>
      </c>
      <c r="AC21">
        <v>18</v>
      </c>
      <c r="AD21" t="str">
        <f t="shared" si="0"/>
        <v>Tomos Hywel</v>
      </c>
      <c r="AF21">
        <v>14</v>
      </c>
    </row>
    <row r="22" spans="1:32" ht="14.25" thickBot="1">
      <c r="A22" s="20"/>
      <c r="B22" s="352" t="s">
        <v>34</v>
      </c>
      <c r="C22" s="353"/>
      <c r="D22" s="146">
        <f>IF($Z$2="Male",VLOOKUP('Personal Analysis'!$AC$2,'League Races Male'!$A$7:$V$86,$AF25,FALSE),IF($Z$2="Female",VLOOKUP('Personal Analysis'!$AC$2,'League Races Female'!$A$7:$V$86,$AF25,FALSE),""))</f>
        <v>0</v>
      </c>
      <c r="E22" s="184">
        <f>IF($Z$2="Male",VLOOKUP('Personal Analysis'!$AE$2,'League Races Male'!$A$7:$V$86,$AF25,FALSE),IF($Z$2="Female",VLOOKUP('Personal Analysis'!$AE$2,'League Races Female'!$A$7:$V$86,$AF25,FALSE),""))</f>
      </c>
      <c r="F22" s="350"/>
      <c r="G22" s="20"/>
      <c r="H22" s="311"/>
      <c r="I22" s="312"/>
      <c r="J22" s="312"/>
      <c r="K22" s="312"/>
      <c r="L22" s="313"/>
      <c r="M22" s="20"/>
      <c r="N22" s="20"/>
      <c r="O22" s="20"/>
      <c r="P22" s="20"/>
      <c r="Q22" s="20"/>
      <c r="R22" s="20"/>
      <c r="S22" s="20"/>
      <c r="AA22" s="40" t="str">
        <f>'League Races Female'!A43</f>
        <v>Elizabeth Stieler</v>
      </c>
      <c r="AB22" s="40" t="str">
        <f>'League Races Male'!A43</f>
        <v>Gethin Holland</v>
      </c>
      <c r="AC22">
        <v>19</v>
      </c>
      <c r="AD22" t="str">
        <f t="shared" si="0"/>
        <v>Gethin Holland</v>
      </c>
      <c r="AF22">
        <v>15</v>
      </c>
    </row>
    <row r="23" spans="1:32" ht="14.25" thickBot="1">
      <c r="A23" s="20"/>
      <c r="B23" s="354" t="s">
        <v>35</v>
      </c>
      <c r="C23" s="355"/>
      <c r="D23" s="149">
        <f>IF($Z$2="Male",VLOOKUP('Personal Analysis'!$AC$2,'League Races Male'!$A$7:$V$86,$AF26,FALSE),IF($Z$2="Female",VLOOKUP('Personal Analysis'!$AC$2,'League Races Female'!$A$7:$V$86,$AF26,FALSE),""))</f>
        <v>0.04793981481481482</v>
      </c>
      <c r="E23" s="185">
        <f>IF($Z$2="Male",VLOOKUP('Personal Analysis'!$AE$2,'League Races Male'!$A$7:$V$86,$AF26,FALSE),IF($Z$2="Female",VLOOKUP('Personal Analysis'!$AE$2,'League Races Female'!$A$7:$V$86,$AF26,FALSE),""))</f>
        <v>65.7702783420893</v>
      </c>
      <c r="F23" s="351"/>
      <c r="G23" s="20"/>
      <c r="H23" s="311"/>
      <c r="I23" s="312"/>
      <c r="J23" s="312"/>
      <c r="K23" s="312"/>
      <c r="L23" s="313"/>
      <c r="M23" s="20"/>
      <c r="N23" s="20"/>
      <c r="O23" s="20"/>
      <c r="P23" s="20"/>
      <c r="Q23" s="20"/>
      <c r="R23" s="20"/>
      <c r="S23" s="20"/>
      <c r="AA23" s="40" t="str">
        <f>'League Races Female'!A45</f>
        <v>Emma Smith</v>
      </c>
      <c r="AB23" s="40" t="str">
        <f>'League Races Male'!A45</f>
        <v>Peter Garson</v>
      </c>
      <c r="AC23">
        <v>20</v>
      </c>
      <c r="AD23" t="str">
        <f t="shared" si="0"/>
        <v>Peter Garson</v>
      </c>
      <c r="AF23">
        <v>16</v>
      </c>
    </row>
    <row r="24" spans="1:32" ht="15" thickBot="1">
      <c r="A24" s="20"/>
      <c r="B24" s="331" t="s">
        <v>60</v>
      </c>
      <c r="C24" s="332"/>
      <c r="D24" s="190">
        <f>IF($Z$2="Male",VLOOKUP('Personal Analysis'!$AC$2,'League Races Male'!$A$7:$V$86,$AF27,FALSE),IF($Z$2="Female",VLOOKUP('Personal Analysis'!$AC$2,'League Races Female'!$A$7:$V$86,$AF27,FALSE),""))</f>
        <v>0.02766203703703704</v>
      </c>
      <c r="E24" s="191">
        <f>IF($Z$2="Male",VLOOKUP('Personal Analysis'!$AE$2,'League Races Male'!$A$7:$V$86,$AF27,FALSE),IF($Z$2="Female",VLOOKUP('Personal Analysis'!$AE$2,'League Races Female'!$A$7:$V$86,$AF27,FALSE),""))</f>
        <v>70.08443077365423</v>
      </c>
      <c r="F24" s="162">
        <f>IF(E24="",0,E24)</f>
        <v>70.08443077365423</v>
      </c>
      <c r="G24" s="20"/>
      <c r="H24" s="314"/>
      <c r="I24" s="315"/>
      <c r="J24" s="315"/>
      <c r="K24" s="315"/>
      <c r="L24" s="316"/>
      <c r="M24" s="20"/>
      <c r="N24" s="20"/>
      <c r="O24" s="20"/>
      <c r="P24" s="20"/>
      <c r="Q24" s="20"/>
      <c r="R24" s="20"/>
      <c r="S24" s="20"/>
      <c r="AA24" s="40" t="str">
        <f>'League Races Female'!A47</f>
        <v>Lynnette Peck</v>
      </c>
      <c r="AB24" s="40" t="str">
        <f>'League Races Male'!A47</f>
        <v>Daniel Davies</v>
      </c>
      <c r="AC24">
        <v>21</v>
      </c>
      <c r="AD24" t="str">
        <f t="shared" si="0"/>
        <v>Daniel Davies</v>
      </c>
      <c r="AF24">
        <v>17</v>
      </c>
    </row>
    <row r="25" spans="1:32" ht="14.25" thickBot="1">
      <c r="A25" s="20"/>
      <c r="B25" s="333" t="str">
        <f>IF($Z$2="Male",VLOOKUP('Personal Analysis'!$AE$2,'League Races Male'!$A$7:$V$86,$AF28,FALSE),IF($Z$2="Female",VLOOKUP('Personal Analysis'!$AE$2,'League Races Female'!$A$7:$V$86,$AF28,FALSE),""))</f>
        <v>10k</v>
      </c>
      <c r="C25" s="334" t="str">
        <f>IF($Z$2="Male",VLOOKUP('Personal Analysis'!$AE$2,'League Races Male'!$A$7:$V$86,$AF28,FALSE),IF($Z$2="Female",VLOOKUP('Personal Analysis'!$AE$2,'League Races Female'!$A$7:$V$86,$AF28,FALSE),""))</f>
        <v>10k</v>
      </c>
      <c r="D25" s="160"/>
      <c r="E25" s="161"/>
      <c r="F25" s="140"/>
      <c r="G25" s="20"/>
      <c r="H25" s="20"/>
      <c r="I25" s="20"/>
      <c r="J25" s="20"/>
      <c r="K25" s="20"/>
      <c r="L25" s="20"/>
      <c r="M25" s="20"/>
      <c r="N25" s="20"/>
      <c r="O25" s="20"/>
      <c r="P25" s="20"/>
      <c r="Q25" s="20"/>
      <c r="R25" s="20"/>
      <c r="S25" s="20"/>
      <c r="AA25" s="40" t="str">
        <f>'League Races Female'!A49</f>
        <v>Heather Pitcher</v>
      </c>
      <c r="AB25" s="40" t="str">
        <f>'League Races Male'!A49</f>
        <v>Will Troughton</v>
      </c>
      <c r="AC25">
        <v>22</v>
      </c>
      <c r="AD25" t="str">
        <f t="shared" si="0"/>
        <v>Will Troughton</v>
      </c>
      <c r="AF25">
        <v>18</v>
      </c>
    </row>
    <row r="26" spans="1:32" ht="14.25" thickBot="1">
      <c r="A26" s="20"/>
      <c r="B26" s="333" t="str">
        <f>IF($Z$2="Male",VLOOKUP('Personal Analysis'!$AE$2,'League Races Male'!$A$7:$V$86,$AF29,FALSE),IF($Z$2="Female",VLOOKUP('Personal Analysis'!$AE$2,'League Races Female'!$A$7:$V$86,$AF29,FALSE),""))</f>
        <v>Aberystwyth 10k</v>
      </c>
      <c r="C26" s="334" t="str">
        <f>IF($Z$2="Male",VLOOKUP('Personal Analysis'!$AE$2,'League Races Male'!$A$7:$V$86,$AF29,FALSE),IF($Z$2="Female",VLOOKUP('Personal Analysis'!$AE$2,'League Races Female'!$A$7:$V$86,$AF29,FALSE),""))</f>
        <v>Aberystwyth 10k</v>
      </c>
      <c r="D26" s="160"/>
      <c r="E26" s="161"/>
      <c r="F26" s="140"/>
      <c r="G26" s="20"/>
      <c r="H26" s="20"/>
      <c r="I26" s="20"/>
      <c r="J26" s="20"/>
      <c r="K26" s="20"/>
      <c r="L26" s="20"/>
      <c r="M26" s="20"/>
      <c r="N26" s="20"/>
      <c r="O26" s="20"/>
      <c r="P26" s="20"/>
      <c r="Q26" s="20"/>
      <c r="R26" s="20"/>
      <c r="S26" s="20"/>
      <c r="AA26" s="40" t="str">
        <f>'League Races Female'!A51</f>
        <v>Shari James</v>
      </c>
      <c r="AB26" s="40" t="str">
        <f>'League Races Male'!A51</f>
        <v>Andy Eden</v>
      </c>
      <c r="AC26">
        <v>23</v>
      </c>
      <c r="AD26" t="str">
        <f t="shared" si="0"/>
        <v>Andy Eden</v>
      </c>
      <c r="AF26">
        <v>19</v>
      </c>
    </row>
    <row r="27" spans="1:32" ht="13.5" thickBot="1">
      <c r="A27" s="20"/>
      <c r="B27" s="20"/>
      <c r="C27" s="20"/>
      <c r="D27" s="140"/>
      <c r="E27" s="140"/>
      <c r="F27" s="140"/>
      <c r="G27" s="20"/>
      <c r="H27" s="20"/>
      <c r="I27" s="20"/>
      <c r="J27" s="20"/>
      <c r="K27" s="20"/>
      <c r="L27" s="20"/>
      <c r="M27" s="20"/>
      <c r="N27" s="20"/>
      <c r="O27" s="20"/>
      <c r="P27" s="20"/>
      <c r="Q27" s="20"/>
      <c r="R27" s="20"/>
      <c r="S27" s="20"/>
      <c r="AA27" s="40" t="str">
        <f>'League Races Female'!A53</f>
        <v>Rhian Breese</v>
      </c>
      <c r="AB27" s="40" t="str">
        <f>'League Races Male'!A53</f>
        <v>Cliff Thomas</v>
      </c>
      <c r="AC27">
        <v>24</v>
      </c>
      <c r="AD27" t="str">
        <f t="shared" si="0"/>
        <v>Cliff Thomas</v>
      </c>
      <c r="AF27">
        <v>20</v>
      </c>
    </row>
    <row r="28" spans="1:32" ht="13.5" thickBot="1">
      <c r="A28" s="20"/>
      <c r="B28" s="20"/>
      <c r="C28" s="20"/>
      <c r="D28" s="20"/>
      <c r="E28" s="20"/>
      <c r="F28" s="20"/>
      <c r="G28" s="20"/>
      <c r="H28" s="20"/>
      <c r="I28" s="20"/>
      <c r="J28" s="20"/>
      <c r="K28" s="20"/>
      <c r="L28" s="20"/>
      <c r="M28" s="20"/>
      <c r="N28" s="20"/>
      <c r="O28" s="20"/>
      <c r="P28" s="20"/>
      <c r="Q28" s="20"/>
      <c r="R28" s="20"/>
      <c r="S28" s="20"/>
      <c r="AA28" s="40" t="str">
        <f>'League Races Female'!A55</f>
        <v>Hayley Revell</v>
      </c>
      <c r="AB28" s="40" t="str">
        <f>'League Races Male'!A55</f>
        <v>Paul Rose</v>
      </c>
      <c r="AC28">
        <v>25</v>
      </c>
      <c r="AD28" t="str">
        <f t="shared" si="0"/>
        <v>Paul Rose</v>
      </c>
      <c r="AF28">
        <v>21</v>
      </c>
    </row>
    <row r="29" spans="1:32" ht="13.5" thickBot="1">
      <c r="A29" s="20"/>
      <c r="B29" s="20"/>
      <c r="C29" s="20"/>
      <c r="D29" s="20"/>
      <c r="E29" s="20"/>
      <c r="F29" s="20"/>
      <c r="G29" s="20"/>
      <c r="H29" s="20"/>
      <c r="I29" s="20"/>
      <c r="J29" s="20"/>
      <c r="K29" s="20"/>
      <c r="L29" s="20"/>
      <c r="M29" s="20"/>
      <c r="N29" s="20"/>
      <c r="O29" s="20"/>
      <c r="P29" s="20"/>
      <c r="Q29" s="20"/>
      <c r="R29" s="20"/>
      <c r="S29" s="20"/>
      <c r="AA29" s="40" t="str">
        <f>'League Races Female'!A57</f>
        <v>Beth Holland</v>
      </c>
      <c r="AB29" s="40" t="str">
        <f>'League Races Male'!A57</f>
        <v>Danny Evans</v>
      </c>
      <c r="AC29">
        <v>26</v>
      </c>
      <c r="AD29" t="str">
        <f t="shared" si="0"/>
        <v>Danny Evans</v>
      </c>
      <c r="AF29">
        <f>AF28+1</f>
        <v>22</v>
      </c>
    </row>
    <row r="30" spans="1:32" ht="13.5" thickBot="1">
      <c r="A30" s="20"/>
      <c r="B30" s="20"/>
      <c r="C30" s="20"/>
      <c r="D30" s="20"/>
      <c r="E30" s="20"/>
      <c r="F30" s="20"/>
      <c r="G30" s="20"/>
      <c r="H30" s="20"/>
      <c r="I30" s="20"/>
      <c r="J30" s="20"/>
      <c r="K30" s="20"/>
      <c r="L30" s="20"/>
      <c r="M30" s="20"/>
      <c r="N30" s="20"/>
      <c r="O30" s="20"/>
      <c r="P30" s="20"/>
      <c r="Q30" s="20"/>
      <c r="R30" s="20"/>
      <c r="S30" s="20"/>
      <c r="AA30" s="40" t="str">
        <f>'League Races Female'!A59</f>
        <v>Delor Harvey</v>
      </c>
      <c r="AB30" s="40" t="str">
        <f>'League Races Male'!A59</f>
        <v>Scott Tompsett</v>
      </c>
      <c r="AC30">
        <v>27</v>
      </c>
      <c r="AD30" t="str">
        <f t="shared" si="0"/>
        <v>Scott Tompsett</v>
      </c>
      <c r="AF30">
        <f>AF29+1</f>
        <v>23</v>
      </c>
    </row>
    <row r="31" spans="1:32" ht="13.5" thickBot="1">
      <c r="A31" s="20"/>
      <c r="B31" s="20"/>
      <c r="C31" s="20"/>
      <c r="D31" s="20"/>
      <c r="E31" s="20"/>
      <c r="F31" s="20"/>
      <c r="G31" s="20"/>
      <c r="H31" s="20"/>
      <c r="I31" s="20"/>
      <c r="J31" s="20"/>
      <c r="K31" s="20"/>
      <c r="L31" s="20"/>
      <c r="M31" s="20"/>
      <c r="N31" s="20"/>
      <c r="O31" s="20"/>
      <c r="P31" s="20"/>
      <c r="Q31" s="20"/>
      <c r="R31" s="20"/>
      <c r="S31" s="20"/>
      <c r="AA31" s="40" t="str">
        <f>'League Races Female'!A61</f>
        <v>Rosemary Reese</v>
      </c>
      <c r="AB31" s="40" t="str">
        <f>'League Races Male'!A61</f>
        <v>Jos Jones</v>
      </c>
      <c r="AC31">
        <v>28</v>
      </c>
      <c r="AD31" t="str">
        <f t="shared" si="0"/>
        <v>Jos Jones</v>
      </c>
      <c r="AF31">
        <f>AF30+1</f>
        <v>24</v>
      </c>
    </row>
    <row r="32" spans="1:32" ht="13.5" thickBot="1">
      <c r="A32" s="20"/>
      <c r="B32" s="20"/>
      <c r="C32" s="20"/>
      <c r="D32" s="20"/>
      <c r="E32" s="20"/>
      <c r="F32" s="20"/>
      <c r="G32" s="20"/>
      <c r="H32" s="20"/>
      <c r="I32" s="20"/>
      <c r="J32" s="20"/>
      <c r="K32" s="20"/>
      <c r="L32" s="20"/>
      <c r="M32" s="20"/>
      <c r="N32" s="20"/>
      <c r="O32" s="20"/>
      <c r="P32" s="20"/>
      <c r="Q32" s="20"/>
      <c r="R32" s="20"/>
      <c r="S32" s="20"/>
      <c r="AA32" s="40" t="str">
        <f>'League Races Female'!A63</f>
        <v>Helen Stretch</v>
      </c>
      <c r="AB32" s="40" t="str">
        <f>'League Races Male'!A63</f>
        <v>Mark Steiler</v>
      </c>
      <c r="AC32">
        <v>29</v>
      </c>
      <c r="AD32" t="str">
        <f t="shared" si="0"/>
        <v>Mark Steiler</v>
      </c>
      <c r="AF32">
        <f>AF31+1</f>
        <v>25</v>
      </c>
    </row>
    <row r="33" spans="1:32" ht="13.5" thickBot="1">
      <c r="A33" s="20"/>
      <c r="B33" s="20"/>
      <c r="C33" s="20"/>
      <c r="D33" s="20"/>
      <c r="E33" s="20"/>
      <c r="F33" s="20"/>
      <c r="G33" s="20"/>
      <c r="H33" s="20"/>
      <c r="I33" s="20"/>
      <c r="J33" s="20"/>
      <c r="K33" s="20"/>
      <c r="L33" s="20"/>
      <c r="M33" s="20"/>
      <c r="N33" s="20"/>
      <c r="O33" s="20"/>
      <c r="P33" s="20"/>
      <c r="Q33" s="20"/>
      <c r="R33" s="20"/>
      <c r="S33" s="20"/>
      <c r="AA33" s="40" t="str">
        <f>'League Races Female'!A65</f>
        <v>Sue Ginley</v>
      </c>
      <c r="AB33" s="40" t="str">
        <f>'League Races Male'!A65</f>
        <v>Stephen King</v>
      </c>
      <c r="AC33">
        <v>30</v>
      </c>
      <c r="AD33" t="str">
        <f t="shared" si="0"/>
        <v>Stephen King</v>
      </c>
      <c r="AF33">
        <f>AF32+1</f>
        <v>26</v>
      </c>
    </row>
    <row r="34" spans="1:32" ht="13.5" thickBot="1">
      <c r="A34" s="20"/>
      <c r="B34" s="20"/>
      <c r="C34" s="20"/>
      <c r="D34" s="20"/>
      <c r="E34" s="20"/>
      <c r="F34" s="20"/>
      <c r="G34" s="20"/>
      <c r="H34" s="20"/>
      <c r="I34" s="20"/>
      <c r="J34" s="20"/>
      <c r="K34" s="20"/>
      <c r="L34" s="20"/>
      <c r="M34" s="20"/>
      <c r="N34" s="20"/>
      <c r="O34" s="20"/>
      <c r="P34" s="20"/>
      <c r="Q34" s="20"/>
      <c r="R34" s="20"/>
      <c r="S34" s="20"/>
      <c r="AA34" s="40">
        <f>'League Races Female'!A67</f>
        <v>0</v>
      </c>
      <c r="AB34" s="40" t="str">
        <f>'League Races Male'!A67</f>
        <v>Gwilym Jones</v>
      </c>
      <c r="AC34">
        <v>31</v>
      </c>
      <c r="AD34" t="str">
        <f aca="true" t="shared" si="1" ref="AD34:AD53">IF($Z$2="feMale",AA34,IF($Z$2="male",AB34,""))</f>
        <v>Gwilym Jones</v>
      </c>
      <c r="AF34">
        <f aca="true" t="shared" si="2" ref="AF34:AF53">AF33+1</f>
        <v>27</v>
      </c>
    </row>
    <row r="35" spans="1:32" ht="13.5" thickBot="1">
      <c r="A35" s="20"/>
      <c r="B35" s="20"/>
      <c r="C35" s="20"/>
      <c r="D35" s="20"/>
      <c r="E35" s="20"/>
      <c r="F35" s="20"/>
      <c r="G35" s="20"/>
      <c r="H35" s="20"/>
      <c r="I35" s="20"/>
      <c r="J35" s="20"/>
      <c r="K35" s="20"/>
      <c r="L35" s="20"/>
      <c r="M35" s="20"/>
      <c r="N35" s="20"/>
      <c r="O35" s="20"/>
      <c r="P35" s="20"/>
      <c r="Q35" s="20"/>
      <c r="R35" s="20"/>
      <c r="S35" s="20"/>
      <c r="AA35" s="40">
        <f>'League Races Female'!A69</f>
        <v>0</v>
      </c>
      <c r="AB35" s="40" t="str">
        <f>'League Races Male'!A69</f>
        <v>Ian Evans</v>
      </c>
      <c r="AC35">
        <v>32</v>
      </c>
      <c r="AD35" t="str">
        <f t="shared" si="1"/>
        <v>Ian Evans</v>
      </c>
      <c r="AF35">
        <f t="shared" si="2"/>
        <v>28</v>
      </c>
    </row>
    <row r="36" spans="7:32" ht="13.5" thickBot="1">
      <c r="G36" s="20"/>
      <c r="H36" s="20"/>
      <c r="I36" s="20"/>
      <c r="J36" s="20"/>
      <c r="K36" s="20"/>
      <c r="L36" s="20"/>
      <c r="M36" s="20"/>
      <c r="N36" s="20"/>
      <c r="O36" s="20"/>
      <c r="P36" s="20"/>
      <c r="Q36" s="20"/>
      <c r="R36" s="20"/>
      <c r="S36" s="20"/>
      <c r="AA36" s="40">
        <f>'League Races Female'!A71</f>
        <v>0</v>
      </c>
      <c r="AB36" s="40">
        <f>'League Races Male'!A71</f>
        <v>0</v>
      </c>
      <c r="AC36">
        <v>33</v>
      </c>
      <c r="AD36">
        <f t="shared" si="1"/>
        <v>0</v>
      </c>
      <c r="AF36">
        <f t="shared" si="2"/>
        <v>29</v>
      </c>
    </row>
    <row r="37" spans="5:32" ht="13.5" thickBot="1">
      <c r="E37">
        <f>IF(SUM(E12:E16)&gt;0,LARGE(E13:E16,1),"")</f>
        <v>75.15285371740366</v>
      </c>
      <c r="K37" s="20"/>
      <c r="L37" s="20"/>
      <c r="M37" s="20"/>
      <c r="N37" s="20"/>
      <c r="O37" s="20"/>
      <c r="P37" s="20"/>
      <c r="Q37" s="20"/>
      <c r="R37" s="20"/>
      <c r="S37" s="20"/>
      <c r="AA37" s="40">
        <f>'League Races Female'!A73</f>
        <v>0</v>
      </c>
      <c r="AB37" s="40">
        <f>'League Races Male'!A73</f>
        <v>0</v>
      </c>
      <c r="AC37">
        <v>34</v>
      </c>
      <c r="AD37">
        <f t="shared" si="1"/>
        <v>0</v>
      </c>
      <c r="AF37">
        <f t="shared" si="2"/>
        <v>30</v>
      </c>
    </row>
    <row r="38" spans="4:32" ht="13.5" thickBot="1">
      <c r="D38" s="24" t="s">
        <v>155</v>
      </c>
      <c r="E38" s="164">
        <f>IF(SUM(E8:E12)&gt;0,LARGE(E8:E12,1),0)</f>
        <v>70.62100796394647</v>
      </c>
      <c r="F38" s="24">
        <f>IF(E38&gt;0,1,0)</f>
        <v>1</v>
      </c>
      <c r="G38" s="335" t="s">
        <v>158</v>
      </c>
      <c r="H38" s="335"/>
      <c r="I38" s="335"/>
      <c r="J38" s="336"/>
      <c r="L38" s="20"/>
      <c r="M38" s="20"/>
      <c r="N38" s="20"/>
      <c r="O38" s="20"/>
      <c r="P38" s="20"/>
      <c r="Q38" s="20"/>
      <c r="R38" s="20"/>
      <c r="S38" s="20"/>
      <c r="AA38" s="40">
        <f>'League Races Female'!A75</f>
        <v>0</v>
      </c>
      <c r="AB38" s="40">
        <f>'League Races Male'!A75</f>
        <v>0</v>
      </c>
      <c r="AC38">
        <v>35</v>
      </c>
      <c r="AD38">
        <f t="shared" si="1"/>
        <v>0</v>
      </c>
      <c r="AF38">
        <f t="shared" si="2"/>
        <v>31</v>
      </c>
    </row>
    <row r="39" spans="4:32" ht="13.5" thickBot="1">
      <c r="D39" s="24" t="s">
        <v>156</v>
      </c>
      <c r="E39" s="164">
        <f>IF(SUM(E13:E17)&gt;0,LARGE(E13:E17,1),0)</f>
        <v>75.15285371740366</v>
      </c>
      <c r="F39" s="24">
        <f>IF(E39&gt;0,3,0)</f>
        <v>3</v>
      </c>
      <c r="G39" s="337"/>
      <c r="H39" s="337"/>
      <c r="I39" s="337"/>
      <c r="J39" s="338"/>
      <c r="AA39" s="40">
        <f>'League Races Female'!A77</f>
        <v>0</v>
      </c>
      <c r="AB39" s="40">
        <f>'League Races Male'!A77</f>
        <v>0</v>
      </c>
      <c r="AC39">
        <v>36</v>
      </c>
      <c r="AD39">
        <f t="shared" si="1"/>
        <v>0</v>
      </c>
      <c r="AF39">
        <f t="shared" si="2"/>
        <v>32</v>
      </c>
    </row>
    <row r="40" spans="4:32" ht="13.5" thickBot="1">
      <c r="D40" s="24" t="s">
        <v>157</v>
      </c>
      <c r="E40" s="164">
        <f>IF(SUM(E18:E23)&gt;0,LARGE(E18:E23,1),0)</f>
        <v>65.7702783420893</v>
      </c>
      <c r="F40" s="24">
        <f>IF(E40&gt;0,5,0)</f>
        <v>5</v>
      </c>
      <c r="G40" s="337"/>
      <c r="H40" s="337"/>
      <c r="I40" s="339"/>
      <c r="J40" s="295"/>
      <c r="AA40" s="40">
        <f>'League Races Female'!A79</f>
        <v>0</v>
      </c>
      <c r="AB40" s="40">
        <f>'League Races Male'!A79</f>
        <v>0</v>
      </c>
      <c r="AC40">
        <v>37</v>
      </c>
      <c r="AD40">
        <f t="shared" si="1"/>
        <v>0</v>
      </c>
      <c r="AF40">
        <f t="shared" si="2"/>
        <v>33</v>
      </c>
    </row>
    <row r="41" spans="6:32" ht="13.5" thickBot="1">
      <c r="F41" s="24"/>
      <c r="G41" s="24">
        <v>0</v>
      </c>
      <c r="H41" s="24" t="s">
        <v>146</v>
      </c>
      <c r="AA41" s="40">
        <f>'League Races Female'!A81</f>
        <v>0</v>
      </c>
      <c r="AB41" s="40">
        <f>'League Races Male'!A81</f>
        <v>0</v>
      </c>
      <c r="AC41">
        <v>38</v>
      </c>
      <c r="AD41">
        <f t="shared" si="1"/>
        <v>0</v>
      </c>
      <c r="AF41">
        <f t="shared" si="2"/>
        <v>34</v>
      </c>
    </row>
    <row r="42" spans="6:32" ht="13.5" thickBot="1">
      <c r="F42" s="24">
        <f>SUM(F38:F40)</f>
        <v>9</v>
      </c>
      <c r="G42" s="24">
        <v>1</v>
      </c>
      <c r="H42" s="24" t="s">
        <v>148</v>
      </c>
      <c r="AA42" s="40">
        <f>'League Races Female'!A83</f>
        <v>0</v>
      </c>
      <c r="AB42" s="40">
        <f>'League Races Male'!A83</f>
        <v>0</v>
      </c>
      <c r="AC42">
        <v>39</v>
      </c>
      <c r="AD42">
        <f t="shared" si="1"/>
        <v>0</v>
      </c>
      <c r="AF42">
        <f t="shared" si="2"/>
        <v>35</v>
      </c>
    </row>
    <row r="43" spans="4:32" ht="13.5" thickBot="1">
      <c r="D43" s="344" t="s">
        <v>159</v>
      </c>
      <c r="E43" s="24">
        <f>COUNTIF(D8:D23,0)</f>
        <v>9</v>
      </c>
      <c r="G43" s="24">
        <v>3</v>
      </c>
      <c r="H43" s="24" t="s">
        <v>149</v>
      </c>
      <c r="AA43" s="40">
        <f>'League Races Female'!A85</f>
        <v>0</v>
      </c>
      <c r="AB43" s="40">
        <f>'League Races Male'!A85</f>
        <v>0</v>
      </c>
      <c r="AC43">
        <v>40</v>
      </c>
      <c r="AD43">
        <f t="shared" si="1"/>
        <v>0</v>
      </c>
      <c r="AF43">
        <f t="shared" si="2"/>
        <v>36</v>
      </c>
    </row>
    <row r="44" spans="4:32" ht="13.5" thickBot="1">
      <c r="D44" s="345"/>
      <c r="E44" s="24">
        <f>16-E43</f>
        <v>7</v>
      </c>
      <c r="G44" s="24">
        <v>5</v>
      </c>
      <c r="H44" s="24" t="s">
        <v>151</v>
      </c>
      <c r="AA44" s="40">
        <f>'League Races Female'!A87</f>
        <v>0</v>
      </c>
      <c r="AB44" s="40">
        <f>'League Races Male'!A87</f>
        <v>0</v>
      </c>
      <c r="AC44">
        <v>41</v>
      </c>
      <c r="AD44">
        <f t="shared" si="1"/>
        <v>0</v>
      </c>
      <c r="AF44">
        <f t="shared" si="2"/>
        <v>37</v>
      </c>
    </row>
    <row r="45" spans="7:32" ht="13.5" thickBot="1">
      <c r="G45" s="24">
        <v>6</v>
      </c>
      <c r="H45" s="24" t="s">
        <v>150</v>
      </c>
      <c r="AA45" s="40">
        <f>'League Races Female'!A88</f>
        <v>0</v>
      </c>
      <c r="AB45" s="40">
        <f>'League Races Male'!A88</f>
        <v>0</v>
      </c>
      <c r="AC45">
        <v>42</v>
      </c>
      <c r="AD45">
        <f t="shared" si="1"/>
        <v>0</v>
      </c>
      <c r="AF45">
        <f t="shared" si="2"/>
        <v>38</v>
      </c>
    </row>
    <row r="46" spans="7:32" ht="13.5" thickBot="1">
      <c r="G46" s="24">
        <v>4</v>
      </c>
      <c r="H46" s="24" t="s">
        <v>152</v>
      </c>
      <c r="AA46" s="40">
        <f>'League Races Female'!A89</f>
        <v>0</v>
      </c>
      <c r="AB46" s="40">
        <f>'League Races Male'!A89</f>
        <v>0</v>
      </c>
      <c r="AC46">
        <v>43</v>
      </c>
      <c r="AD46">
        <f t="shared" si="1"/>
        <v>0</v>
      </c>
      <c r="AF46">
        <f t="shared" si="2"/>
        <v>39</v>
      </c>
    </row>
    <row r="47" spans="7:32" ht="13.5" thickBot="1">
      <c r="G47" s="24">
        <v>8</v>
      </c>
      <c r="H47" s="24" t="s">
        <v>153</v>
      </c>
      <c r="AA47" s="40">
        <f>'League Races Female'!A90</f>
        <v>0</v>
      </c>
      <c r="AB47" s="40">
        <f>'League Races Male'!A90</f>
        <v>0</v>
      </c>
      <c r="AC47">
        <v>44</v>
      </c>
      <c r="AD47">
        <f t="shared" si="1"/>
        <v>0</v>
      </c>
      <c r="AF47">
        <f t="shared" si="2"/>
        <v>40</v>
      </c>
    </row>
    <row r="48" spans="7:32" ht="13.5" thickBot="1">
      <c r="G48" s="24">
        <v>9</v>
      </c>
      <c r="H48" s="24" t="s">
        <v>145</v>
      </c>
      <c r="AA48" s="40">
        <f>'League Races Female'!A91</f>
        <v>0</v>
      </c>
      <c r="AB48" s="40">
        <f>'League Races Male'!A91</f>
        <v>0</v>
      </c>
      <c r="AC48">
        <v>45</v>
      </c>
      <c r="AD48">
        <f t="shared" si="1"/>
        <v>0</v>
      </c>
      <c r="AF48">
        <f t="shared" si="2"/>
        <v>41</v>
      </c>
    </row>
    <row r="49" spans="7:32" ht="13.5" thickBot="1">
      <c r="G49" s="24"/>
      <c r="H49" s="24" t="s">
        <v>147</v>
      </c>
      <c r="AA49" s="40">
        <f>'League Races Female'!A92</f>
        <v>0</v>
      </c>
      <c r="AB49" s="40">
        <f>'League Races Male'!A92</f>
        <v>0</v>
      </c>
      <c r="AC49">
        <v>46</v>
      </c>
      <c r="AD49">
        <f t="shared" si="1"/>
        <v>0</v>
      </c>
      <c r="AF49">
        <f t="shared" si="2"/>
        <v>42</v>
      </c>
    </row>
    <row r="50" spans="8:32" ht="13.5" thickBot="1">
      <c r="H50" t="s">
        <v>154</v>
      </c>
      <c r="AA50" s="40">
        <f>'League Races Female'!A93</f>
        <v>0</v>
      </c>
      <c r="AB50" s="40">
        <f>'League Races Male'!A93</f>
        <v>0</v>
      </c>
      <c r="AC50">
        <v>47</v>
      </c>
      <c r="AD50">
        <f t="shared" si="1"/>
        <v>0</v>
      </c>
      <c r="AF50">
        <f t="shared" si="2"/>
        <v>43</v>
      </c>
    </row>
    <row r="51" spans="27:32" ht="13.5" thickBot="1">
      <c r="AA51" s="40">
        <f>'League Races Female'!A94</f>
        <v>0</v>
      </c>
      <c r="AB51" s="40">
        <f>'League Races Male'!A94</f>
        <v>0</v>
      </c>
      <c r="AC51">
        <v>48</v>
      </c>
      <c r="AD51">
        <f t="shared" si="1"/>
        <v>0</v>
      </c>
      <c r="AF51">
        <f t="shared" si="2"/>
        <v>44</v>
      </c>
    </row>
    <row r="52" spans="27:32" ht="13.5" thickBot="1">
      <c r="AA52" s="40">
        <f>'League Races Female'!A95</f>
        <v>0</v>
      </c>
      <c r="AB52" s="40">
        <f>'League Races Male'!A95</f>
        <v>0</v>
      </c>
      <c r="AC52">
        <v>49</v>
      </c>
      <c r="AD52">
        <f t="shared" si="1"/>
        <v>0</v>
      </c>
      <c r="AF52">
        <f t="shared" si="2"/>
        <v>45</v>
      </c>
    </row>
    <row r="53" spans="27:32" ht="12.75">
      <c r="AA53" s="40">
        <f>'League Races Female'!A96</f>
        <v>0</v>
      </c>
      <c r="AB53" s="40">
        <f>'League Races Male'!A96</f>
        <v>0</v>
      </c>
      <c r="AC53">
        <v>50</v>
      </c>
      <c r="AD53">
        <f t="shared" si="1"/>
        <v>0</v>
      </c>
      <c r="AF53">
        <f t="shared" si="2"/>
        <v>46</v>
      </c>
    </row>
  </sheetData>
  <sheetProtection sheet="1" objects="1" scenarios="1"/>
  <mergeCells count="45">
    <mergeCell ref="J9:L9"/>
    <mergeCell ref="J10:L10"/>
    <mergeCell ref="H14:I14"/>
    <mergeCell ref="J14:L14"/>
    <mergeCell ref="H12:I12"/>
    <mergeCell ref="J12:L12"/>
    <mergeCell ref="H13:I13"/>
    <mergeCell ref="J13:L13"/>
    <mergeCell ref="D43:D44"/>
    <mergeCell ref="B26:C26"/>
    <mergeCell ref="F8:F12"/>
    <mergeCell ref="F13:F17"/>
    <mergeCell ref="F18:F23"/>
    <mergeCell ref="B20:C20"/>
    <mergeCell ref="B21:C21"/>
    <mergeCell ref="B22:C22"/>
    <mergeCell ref="B23:C23"/>
    <mergeCell ref="B19:C19"/>
    <mergeCell ref="B24:C24"/>
    <mergeCell ref="B25:C25"/>
    <mergeCell ref="G38:J40"/>
    <mergeCell ref="B11:C11"/>
    <mergeCell ref="B16:C16"/>
    <mergeCell ref="B17:C17"/>
    <mergeCell ref="B18:C18"/>
    <mergeCell ref="B7:C7"/>
    <mergeCell ref="H21:L24"/>
    <mergeCell ref="H20:L20"/>
    <mergeCell ref="B12:C12"/>
    <mergeCell ref="B13:C13"/>
    <mergeCell ref="B14:C14"/>
    <mergeCell ref="B15:C15"/>
    <mergeCell ref="B8:C8"/>
    <mergeCell ref="B9:C9"/>
    <mergeCell ref="B10:C10"/>
    <mergeCell ref="D2:J2"/>
    <mergeCell ref="K4:L5"/>
    <mergeCell ref="H11:I11"/>
    <mergeCell ref="J11:L11"/>
    <mergeCell ref="H7:I7"/>
    <mergeCell ref="H8:I8"/>
    <mergeCell ref="H9:I9"/>
    <mergeCell ref="H10:I10"/>
    <mergeCell ref="J7:L7"/>
    <mergeCell ref="J8:L8"/>
  </mergeCells>
  <conditionalFormatting sqref="H20:L20">
    <cfRule type="expression" priority="1" dxfId="1" stopIfTrue="1">
      <formula>$H$20="Not Qualified"</formula>
    </cfRule>
    <cfRule type="expression" priority="2" dxfId="0" stopIfTrue="1">
      <formula>$H$20="Qualified"</formula>
    </cfRule>
  </conditionalFormatting>
  <hyperlinks>
    <hyperlink ref="K4:L4" location="'Front Page'!A1" display="Front Page"/>
  </hyperlinks>
  <printOptions/>
  <pageMargins left="0.75" right="0.75" top="1" bottom="1" header="0.5" footer="0.5"/>
  <pageSetup orientation="portrait" paperSize="9" r:id="rId3"/>
  <drawing r:id="rId2"/>
  <legacyDrawing r:id="rId1"/>
</worksheet>
</file>

<file path=xl/worksheets/sheet6.xml><?xml version="1.0" encoding="utf-8"?>
<worksheet xmlns="http://schemas.openxmlformats.org/spreadsheetml/2006/main" xmlns:r="http://schemas.openxmlformats.org/officeDocument/2006/relationships">
  <dimension ref="A1:BC34"/>
  <sheetViews>
    <sheetView zoomScale="95" zoomScaleNormal="95" workbookViewId="0" topLeftCell="A4">
      <selection activeCell="E14" sqref="E14"/>
    </sheetView>
  </sheetViews>
  <sheetFormatPr defaultColWidth="9.140625" defaultRowHeight="12.75"/>
  <cols>
    <col min="1" max="1" width="3.00390625" style="0" customWidth="1"/>
    <col min="2" max="2" width="13.421875" style="0" customWidth="1"/>
    <col min="5" max="5" width="10.00390625" style="0" customWidth="1"/>
    <col min="11" max="11" width="10.00390625" style="0" customWidth="1"/>
    <col min="15" max="15" width="10.00390625" style="0" customWidth="1"/>
  </cols>
  <sheetData>
    <row r="1" spans="1:16" ht="13.5" thickBot="1">
      <c r="A1" s="20"/>
      <c r="B1" s="20"/>
      <c r="C1" s="20"/>
      <c r="D1" s="20"/>
      <c r="E1" s="20"/>
      <c r="F1" s="20"/>
      <c r="G1" s="20"/>
      <c r="H1" s="20"/>
      <c r="I1" s="20"/>
      <c r="J1" s="20"/>
      <c r="K1" s="20"/>
      <c r="L1" s="20"/>
      <c r="M1" s="20"/>
      <c r="N1" s="20"/>
      <c r="O1" s="20"/>
      <c r="P1" s="20"/>
    </row>
    <row r="2" spans="1:16" ht="24" customHeight="1">
      <c r="A2" s="224" t="s">
        <v>140</v>
      </c>
      <c r="B2" s="225"/>
      <c r="C2" s="13"/>
      <c r="D2" s="12"/>
      <c r="E2" s="367" t="s">
        <v>45</v>
      </c>
      <c r="F2" s="368"/>
      <c r="G2" s="368"/>
      <c r="H2" s="368"/>
      <c r="I2" s="368"/>
      <c r="J2" s="368"/>
      <c r="K2" s="368"/>
      <c r="L2" s="368"/>
      <c r="M2" s="11"/>
      <c r="N2" s="13"/>
      <c r="O2" s="20"/>
      <c r="P2" s="20"/>
    </row>
    <row r="3" spans="1:16" ht="7.5" customHeight="1">
      <c r="A3" s="20"/>
      <c r="B3" s="20"/>
      <c r="C3" s="20"/>
      <c r="D3" s="20"/>
      <c r="E3" s="20"/>
      <c r="F3" s="20"/>
      <c r="G3" s="20"/>
      <c r="H3" s="20"/>
      <c r="I3" s="20"/>
      <c r="J3" s="20"/>
      <c r="K3" s="20"/>
      <c r="L3" s="20"/>
      <c r="M3" s="20"/>
      <c r="N3" s="20"/>
      <c r="O3" s="20"/>
      <c r="P3" s="20"/>
    </row>
    <row r="4" spans="1:54" ht="13.5" customHeight="1">
      <c r="A4" s="20"/>
      <c r="B4" s="20"/>
      <c r="C4" s="20"/>
      <c r="D4" s="20"/>
      <c r="E4" s="20"/>
      <c r="F4" s="20"/>
      <c r="G4" s="20"/>
      <c r="H4" s="20"/>
      <c r="I4" s="20"/>
      <c r="J4" s="20"/>
      <c r="K4" s="20"/>
      <c r="L4" s="20"/>
      <c r="M4" s="20"/>
      <c r="N4" s="20"/>
      <c r="O4" s="20"/>
      <c r="P4" s="20"/>
      <c r="BA4" s="369" t="s">
        <v>69</v>
      </c>
      <c r="BB4" s="369"/>
    </row>
    <row r="5" spans="1:54" ht="18" customHeight="1" thickBot="1">
      <c r="A5" s="20"/>
      <c r="B5" s="20"/>
      <c r="C5" s="20"/>
      <c r="D5" s="20"/>
      <c r="E5" s="20"/>
      <c r="F5" s="20"/>
      <c r="G5" s="20"/>
      <c r="H5" s="20"/>
      <c r="I5" s="20"/>
      <c r="J5" s="20"/>
      <c r="K5" s="20"/>
      <c r="L5" s="20"/>
      <c r="M5" s="20"/>
      <c r="N5" s="20"/>
      <c r="O5" s="20"/>
      <c r="P5" s="20"/>
      <c r="BA5" s="369"/>
      <c r="BB5" s="369"/>
    </row>
    <row r="6" spans="1:54" ht="27.75" customHeight="1" thickBot="1">
      <c r="A6" s="20"/>
      <c r="B6" s="17"/>
      <c r="C6" s="18"/>
      <c r="D6" s="20"/>
      <c r="E6" s="20"/>
      <c r="F6" s="20"/>
      <c r="G6" s="20"/>
      <c r="H6" s="20"/>
      <c r="I6" s="20"/>
      <c r="J6" s="20"/>
      <c r="K6" s="20"/>
      <c r="L6" s="20"/>
      <c r="M6" s="20"/>
      <c r="N6" s="20"/>
      <c r="O6" s="20"/>
      <c r="P6" s="20"/>
      <c r="BA6" s="210">
        <v>2</v>
      </c>
      <c r="BB6" s="66" t="str">
        <f>IF(BA6=1,"Male",IF(BA6=2,"Female",""))</f>
        <v>Female</v>
      </c>
    </row>
    <row r="7" spans="1:54" ht="13.5" thickBot="1">
      <c r="A7" s="20"/>
      <c r="B7" s="20"/>
      <c r="C7" s="20"/>
      <c r="D7" s="20"/>
      <c r="E7" s="20"/>
      <c r="F7" s="20"/>
      <c r="G7" s="20"/>
      <c r="H7" s="20"/>
      <c r="I7" s="20"/>
      <c r="J7" s="20"/>
      <c r="K7" s="20"/>
      <c r="L7" s="20"/>
      <c r="M7" s="20"/>
      <c r="N7" s="20"/>
      <c r="O7" s="20"/>
      <c r="P7" s="20"/>
      <c r="BA7" s="380" t="s">
        <v>94</v>
      </c>
      <c r="BB7" s="380"/>
    </row>
    <row r="8" spans="1:54" ht="18.75" customHeight="1" thickBot="1">
      <c r="A8" s="20"/>
      <c r="B8" s="19" t="s">
        <v>107</v>
      </c>
      <c r="C8" s="208">
        <v>54</v>
      </c>
      <c r="D8" s="20"/>
      <c r="E8" s="20"/>
      <c r="F8" s="20"/>
      <c r="G8" s="20"/>
      <c r="H8" s="20"/>
      <c r="I8" s="20"/>
      <c r="J8" s="20"/>
      <c r="K8" s="20"/>
      <c r="L8" s="20"/>
      <c r="M8" s="20"/>
      <c r="N8" s="20"/>
      <c r="O8" s="20"/>
      <c r="P8" s="20"/>
      <c r="BA8" s="381"/>
      <c r="BB8" s="381"/>
    </row>
    <row r="9" spans="1:54" ht="13.5" thickBot="1">
      <c r="A9" s="20"/>
      <c r="B9" s="20"/>
      <c r="C9" s="20"/>
      <c r="D9" s="20"/>
      <c r="E9" s="20"/>
      <c r="F9" s="20"/>
      <c r="G9" s="20"/>
      <c r="H9" s="20"/>
      <c r="I9" s="20"/>
      <c r="J9" s="20"/>
      <c r="K9" s="20"/>
      <c r="L9" s="20"/>
      <c r="M9" s="20"/>
      <c r="N9" s="20"/>
      <c r="O9" s="20"/>
      <c r="P9" s="20"/>
      <c r="BA9" s="381"/>
      <c r="BB9" s="381"/>
    </row>
    <row r="10" spans="1:54" ht="24" customHeight="1" thickBot="1">
      <c r="A10" s="20"/>
      <c r="B10" s="382" t="s">
        <v>48</v>
      </c>
      <c r="C10" s="383"/>
      <c r="D10" s="383"/>
      <c r="E10" s="383"/>
      <c r="F10" s="383"/>
      <c r="G10" s="383"/>
      <c r="H10" s="383"/>
      <c r="I10" s="383"/>
      <c r="J10" s="383"/>
      <c r="K10" s="383"/>
      <c r="L10" s="383"/>
      <c r="M10" s="383"/>
      <c r="N10" s="384"/>
      <c r="O10" s="20"/>
      <c r="P10" s="20"/>
      <c r="BA10" s="381"/>
      <c r="BB10" s="381"/>
    </row>
    <row r="11" spans="1:53" ht="27" customHeight="1" thickBot="1">
      <c r="A11" s="20"/>
      <c r="B11" s="14"/>
      <c r="C11" s="15"/>
      <c r="D11" s="15"/>
      <c r="E11" s="15"/>
      <c r="F11" s="15"/>
      <c r="G11" s="15"/>
      <c r="H11" s="15"/>
      <c r="I11" s="15"/>
      <c r="J11" s="15"/>
      <c r="K11" s="15"/>
      <c r="L11" s="15"/>
      <c r="M11" s="15"/>
      <c r="N11" s="16"/>
      <c r="O11" s="20"/>
      <c r="P11" s="20"/>
      <c r="BA11" s="210">
        <v>9</v>
      </c>
    </row>
    <row r="12" spans="1:54" ht="15" thickBot="1">
      <c r="A12" s="20"/>
      <c r="B12" s="20"/>
      <c r="C12" s="20"/>
      <c r="D12" s="20"/>
      <c r="E12" s="20"/>
      <c r="F12" s="20"/>
      <c r="G12" s="20"/>
      <c r="H12" s="20"/>
      <c r="I12" s="81"/>
      <c r="J12" s="20"/>
      <c r="K12" s="20"/>
      <c r="L12" s="20"/>
      <c r="M12" s="20"/>
      <c r="N12" s="20"/>
      <c r="O12" s="20"/>
      <c r="P12" s="20"/>
      <c r="BA12">
        <v>1</v>
      </c>
      <c r="BB12" s="70" t="s">
        <v>39</v>
      </c>
    </row>
    <row r="13" spans="1:54" ht="17.25" thickBot="1">
      <c r="A13" s="20"/>
      <c r="B13" s="374" t="s">
        <v>9</v>
      </c>
      <c r="C13" s="375"/>
      <c r="D13" s="375"/>
      <c r="E13" s="209">
        <v>0.07523148148148148</v>
      </c>
      <c r="F13" s="20"/>
      <c r="G13" s="376" t="s">
        <v>73</v>
      </c>
      <c r="H13" s="377"/>
      <c r="I13" s="145">
        <f>VLOOKUP($BC$26,'World Records'!$D$3:$H$30,2,FALSE)</f>
        <v>0.04637731481481481</v>
      </c>
      <c r="J13" s="395" t="str">
        <f>VLOOKUP($BC$26,'World Records'!$D$3:$I$30,6,FALSE)</f>
        <v>Association Road Racing Statistics</v>
      </c>
      <c r="K13" s="396"/>
      <c r="L13" s="396"/>
      <c r="M13" s="396"/>
      <c r="N13" s="397"/>
      <c r="O13" s="20"/>
      <c r="P13" s="20"/>
      <c r="BA13">
        <v>2</v>
      </c>
      <c r="BB13" s="71" t="s">
        <v>20</v>
      </c>
    </row>
    <row r="14" spans="1:54" ht="17.25" thickBot="1">
      <c r="A14" s="20"/>
      <c r="B14" s="67"/>
      <c r="C14" s="67"/>
      <c r="D14" s="67"/>
      <c r="E14" s="67"/>
      <c r="F14" s="20"/>
      <c r="G14" s="378" t="s">
        <v>74</v>
      </c>
      <c r="H14" s="379"/>
      <c r="I14" s="386" t="str">
        <f>VLOOKUP($BC$26,'World Records'!$D$3:$H$30,3,FALSE)</f>
        <v>Paula Radcliffe (ENG)</v>
      </c>
      <c r="J14" s="387">
        <f>VLOOKUP($BC$26,'World Records'!$D$3:$H$30,2,FALSE)</f>
        <v>0.04637731481481481</v>
      </c>
      <c r="K14" s="387">
        <f>VLOOKUP($BC$26,'World Records'!$D$3:$H$30,2,FALSE)</f>
        <v>0.04637731481481481</v>
      </c>
      <c r="L14" s="387">
        <f>VLOOKUP($BC$26,'World Records'!$D$3:$H$30,2,FALSE)</f>
        <v>0.04637731481481481</v>
      </c>
      <c r="M14" s="387">
        <f>VLOOKUP($BC$26,'World Records'!$D$3:$H$30,2,FALSE)</f>
        <v>0.04637731481481481</v>
      </c>
      <c r="N14" s="388">
        <f>VLOOKUP($BC$26,'World Records'!$D$3:$H$30,2,FALSE)</f>
        <v>0.04637731481481481</v>
      </c>
      <c r="O14" s="20"/>
      <c r="P14" s="20"/>
      <c r="BA14">
        <v>3</v>
      </c>
      <c r="BB14" s="71" t="s">
        <v>40</v>
      </c>
    </row>
    <row r="15" spans="1:54" ht="17.25" thickBot="1">
      <c r="A15" s="20"/>
      <c r="B15" s="370" t="s">
        <v>70</v>
      </c>
      <c r="C15" s="371"/>
      <c r="D15" s="371"/>
      <c r="E15" s="143">
        <f>IF(AND(C8&lt;&gt;0,C8&gt;29,C8&lt;71),VLOOKUP(CONCATENATE(BB6,C8),'Base Calculation'!$A$5:$O$89,'Personal Calculator'!BA11+2,FALSE),"Age Error")</f>
        <v>0.05541559901399786</v>
      </c>
      <c r="F15" s="20"/>
      <c r="G15" s="378" t="s">
        <v>26</v>
      </c>
      <c r="H15" s="379"/>
      <c r="I15" s="389">
        <f>VLOOKUP($BC$26,'World Records'!$D$3:$H$30,4,FALSE)</f>
        <v>37171</v>
      </c>
      <c r="J15" s="390">
        <f>VLOOKUP($BC$26,'World Records'!$D$3:$H$30,2,FALSE)</f>
        <v>0.04637731481481481</v>
      </c>
      <c r="K15" s="390">
        <f>VLOOKUP($BC$26,'World Records'!$D$3:$H$30,2,FALSE)</f>
        <v>0.04637731481481481</v>
      </c>
      <c r="L15" s="390">
        <f>VLOOKUP($BC$26,'World Records'!$D$3:$H$30,2,FALSE)</f>
        <v>0.04637731481481481</v>
      </c>
      <c r="M15" s="390">
        <f>VLOOKUP($BC$26,'World Records'!$D$3:$H$30,2,FALSE)</f>
        <v>0.04637731481481481</v>
      </c>
      <c r="N15" s="391">
        <f>VLOOKUP($BC$26,'World Records'!$D$3:$H$30,2,FALSE)</f>
        <v>0.04637731481481481</v>
      </c>
      <c r="O15" s="20"/>
      <c r="P15" s="20"/>
      <c r="BA15">
        <v>4</v>
      </c>
      <c r="BB15" s="71" t="s">
        <v>21</v>
      </c>
    </row>
    <row r="16" spans="1:54" ht="17.25" thickBot="1">
      <c r="A16" s="20"/>
      <c r="B16" s="372" t="s">
        <v>46</v>
      </c>
      <c r="C16" s="373"/>
      <c r="D16" s="373"/>
      <c r="E16" s="144">
        <f>IF($E13&gt;0,E15/E13,"")</f>
        <v>0.7366011930476023</v>
      </c>
      <c r="F16" s="20"/>
      <c r="G16" s="372" t="s">
        <v>75</v>
      </c>
      <c r="H16" s="385"/>
      <c r="I16" s="392" t="str">
        <f>VLOOKUP($BC$26,'World Records'!$D$3:$H$30,5,FALSE)</f>
        <v>Bristol ENG</v>
      </c>
      <c r="J16" s="393">
        <f>VLOOKUP($BC$26,'World Records'!$D$3:$H$30,2,FALSE)</f>
        <v>0.04637731481481481</v>
      </c>
      <c r="K16" s="393">
        <f>VLOOKUP($BC$26,'World Records'!$D$3:$H$30,2,FALSE)</f>
        <v>0.04637731481481481</v>
      </c>
      <c r="L16" s="393">
        <f>VLOOKUP($BC$26,'World Records'!$D$3:$H$30,2,FALSE)</f>
        <v>0.04637731481481481</v>
      </c>
      <c r="M16" s="393">
        <f>VLOOKUP($BC$26,'World Records'!$D$3:$H$30,2,FALSE)</f>
        <v>0.04637731481481481</v>
      </c>
      <c r="N16" s="394">
        <f>VLOOKUP($BC$26,'World Records'!$D$3:$H$30,2,FALSE)</f>
        <v>0.04637731481481481</v>
      </c>
      <c r="O16" s="20"/>
      <c r="P16" s="20"/>
      <c r="BA16">
        <v>5</v>
      </c>
      <c r="BB16" s="71" t="s">
        <v>49</v>
      </c>
    </row>
    <row r="17" spans="1:54" ht="15" thickBot="1">
      <c r="A17" s="20"/>
      <c r="B17" s="20"/>
      <c r="C17" s="20"/>
      <c r="D17" s="21"/>
      <c r="E17" s="20"/>
      <c r="F17" s="20"/>
      <c r="G17" s="20"/>
      <c r="H17" s="20"/>
      <c r="I17" s="20"/>
      <c r="J17" s="20"/>
      <c r="K17" s="20"/>
      <c r="L17" s="20"/>
      <c r="M17" s="20"/>
      <c r="N17" s="20"/>
      <c r="O17" s="20"/>
      <c r="P17" s="20"/>
      <c r="BA17">
        <v>6</v>
      </c>
      <c r="BB17" s="71" t="s">
        <v>50</v>
      </c>
    </row>
    <row r="18" spans="1:54" ht="21.75" customHeight="1" thickBot="1">
      <c r="A18" s="20"/>
      <c r="B18" s="20"/>
      <c r="C18" s="364" t="s">
        <v>47</v>
      </c>
      <c r="D18" s="365"/>
      <c r="E18" s="365"/>
      <c r="F18" s="365"/>
      <c r="G18" s="365"/>
      <c r="H18" s="365"/>
      <c r="I18" s="365"/>
      <c r="J18" s="365"/>
      <c r="K18" s="365"/>
      <c r="L18" s="365"/>
      <c r="M18" s="365"/>
      <c r="N18" s="365"/>
      <c r="O18" s="366"/>
      <c r="P18" s="20"/>
      <c r="BA18">
        <v>7</v>
      </c>
      <c r="BB18" s="71" t="s">
        <v>25</v>
      </c>
    </row>
    <row r="19" spans="1:54" ht="33.75" customHeight="1" thickBot="1">
      <c r="A19" s="20"/>
      <c r="B19" s="22"/>
      <c r="C19" s="152" t="s">
        <v>39</v>
      </c>
      <c r="D19" s="153" t="s">
        <v>20</v>
      </c>
      <c r="E19" s="153" t="s">
        <v>40</v>
      </c>
      <c r="F19" s="153" t="s">
        <v>21</v>
      </c>
      <c r="G19" s="153" t="s">
        <v>49</v>
      </c>
      <c r="H19" s="153" t="s">
        <v>50</v>
      </c>
      <c r="I19" s="153" t="s">
        <v>25</v>
      </c>
      <c r="J19" s="153" t="s">
        <v>51</v>
      </c>
      <c r="K19" s="153" t="s">
        <v>23</v>
      </c>
      <c r="L19" s="153" t="s">
        <v>52</v>
      </c>
      <c r="M19" s="153" t="s">
        <v>53</v>
      </c>
      <c r="N19" s="153" t="s">
        <v>24</v>
      </c>
      <c r="O19" s="154" t="s">
        <v>54</v>
      </c>
      <c r="P19" s="20"/>
      <c r="BA19">
        <v>8</v>
      </c>
      <c r="BB19" s="71" t="s">
        <v>51</v>
      </c>
    </row>
    <row r="20" spans="1:54" ht="27.75" customHeight="1" thickBot="1">
      <c r="A20" s="20"/>
      <c r="B20" s="68" t="s">
        <v>71</v>
      </c>
      <c r="C20" s="146">
        <f>IF($E13&gt;0,VLOOKUP(CONCATENATE($BB$6,$C$8),'Base Calculation'!$A$5:$O$89,3,FALSE),"")</f>
        <v>0.0035395149773247204</v>
      </c>
      <c r="D20" s="147">
        <f>IF($E13&gt;0,VLOOKUP(CONCATENATE($BB$6,$C$8),'Base Calculation'!$A$5:$O$89,4,FALSE),"")</f>
        <v>0.012253112235188946</v>
      </c>
      <c r="E20" s="147">
        <f>IF($E13&gt;0,VLOOKUP(CONCATENATE($BB$6,$C$8),'Base Calculation'!$A$5:$O$89,5,FALSE),"")</f>
        <v>0.020440293322358086</v>
      </c>
      <c r="F20" s="147">
        <f>IF($E13&gt;0,VLOOKUP(CONCATENATE($BB$6,$C$8),'Base Calculation'!$A$5:$O$89,6,FALSE),"")</f>
        <v>0.020288166646751902</v>
      </c>
      <c r="G20" s="147">
        <f>IF($E13&gt;0,VLOOKUP(CONCATENATE($BB$6,$C$8),'Base Calculation'!$A$5:$O$89,7,FALSE),"")</f>
        <v>0.02528068754619119</v>
      </c>
      <c r="H20" s="147">
        <f>IF($E13&gt;0,VLOOKUP(CONCATENATE($BB$6,$C$8),'Base Calculation'!$A$5:$O$89,8,FALSE),"")</f>
        <v>0.03923485260861292</v>
      </c>
      <c r="I20" s="147">
        <f>IF($E13&gt;0,VLOOKUP(CONCATENATE($BB$6,$C$8),'Base Calculation'!$A$5:$O$89,9,FALSE),"")</f>
        <v>0.043300783756632724</v>
      </c>
      <c r="J20" s="147">
        <f>IF($E13&gt;0,VLOOKUP(CONCATENATE($BB$6,$C$8),'Base Calculation'!$A$5:$O$89,10,FALSE),"")</f>
        <v>0.052566681270827524</v>
      </c>
      <c r="K20" s="147">
        <f>IF($E13&gt;0,VLOOKUP(CONCATENATE($BB$6,$C$8),'Base Calculation'!$A$5:$O$89,11,FALSE),"")</f>
        <v>0.05541559901399786</v>
      </c>
      <c r="L20" s="147">
        <f>IF($E13&gt;0,VLOOKUP(CONCATENATE($BB$6,$C$8),'Base Calculation'!$A$5:$O$89,12,FALSE),"")</f>
        <v>0.06688041847559113</v>
      </c>
      <c r="M20" s="147">
        <f>IF($E13&gt;0,VLOOKUP(CONCATENATE($BB$6,$C$8),'Base Calculation'!$A$5:$O$89,13,FALSE),"")</f>
        <v>0.09171204653258075</v>
      </c>
      <c r="N20" s="147">
        <f>IF($E13&gt;0,VLOOKUP(CONCATENATE($BB$6,$C$8),'Base Calculation'!$A$5:$O$89,14,FALSE),"")</f>
        <v>0.08554299501547705</v>
      </c>
      <c r="O20" s="148">
        <f>IF($E13&gt;0,VLOOKUP(CONCATENATE($BB$6,$C$8),'Base Calculation'!$A$5:$O$89,15,FALSE),"")</f>
        <v>0.11078373054782045</v>
      </c>
      <c r="P20" s="20"/>
      <c r="BA20">
        <v>9</v>
      </c>
      <c r="BB20" s="71" t="s">
        <v>23</v>
      </c>
    </row>
    <row r="21" spans="1:54" ht="27.75" customHeight="1" thickBot="1">
      <c r="A21" s="20"/>
      <c r="B21" s="68" t="s">
        <v>72</v>
      </c>
      <c r="C21" s="149">
        <f>IF($E13&gt;0,C20/$E$16,"")</f>
        <v>0.004805198539905137</v>
      </c>
      <c r="D21" s="150">
        <f aca="true" t="shared" si="0" ref="D21:O21">IF($E13&gt;0,D20/$E$16,"")</f>
        <v>0.016634662488792765</v>
      </c>
      <c r="E21" s="150">
        <f t="shared" si="0"/>
        <v>0.027749470833448878</v>
      </c>
      <c r="F21" s="150">
        <f t="shared" si="0"/>
        <v>0.027542945678396144</v>
      </c>
      <c r="G21" s="150">
        <f t="shared" si="0"/>
        <v>0.034320725766944886</v>
      </c>
      <c r="H21" s="150">
        <f t="shared" si="0"/>
        <v>0.05326471498950911</v>
      </c>
      <c r="I21" s="150">
        <f t="shared" si="0"/>
        <v>0.05878456913364576</v>
      </c>
      <c r="J21" s="150">
        <f t="shared" si="0"/>
        <v>0.0713638285777667</v>
      </c>
      <c r="K21" s="150">
        <f t="shared" si="0"/>
        <v>0.07523148148148148</v>
      </c>
      <c r="L21" s="150">
        <f t="shared" si="0"/>
        <v>0.09079596816681919</v>
      </c>
      <c r="M21" s="150">
        <f t="shared" si="0"/>
        <v>0.12450705673328162</v>
      </c>
      <c r="N21" s="150">
        <f t="shared" si="0"/>
        <v>0.11613203429871298</v>
      </c>
      <c r="O21" s="151">
        <f t="shared" si="0"/>
        <v>0.15039852174209165</v>
      </c>
      <c r="P21" s="20"/>
      <c r="BA21">
        <v>10</v>
      </c>
      <c r="BB21" s="71" t="s">
        <v>52</v>
      </c>
    </row>
    <row r="22" spans="1:54" ht="15" thickBot="1">
      <c r="A22" s="20"/>
      <c r="B22" s="20"/>
      <c r="C22" s="20"/>
      <c r="D22" s="20"/>
      <c r="E22" s="20"/>
      <c r="F22" s="20"/>
      <c r="G22" s="20"/>
      <c r="H22" s="20"/>
      <c r="I22" s="20"/>
      <c r="J22" s="20"/>
      <c r="K22" s="20"/>
      <c r="L22" s="20"/>
      <c r="M22" s="20"/>
      <c r="N22" s="20"/>
      <c r="O22" s="20"/>
      <c r="P22" s="20"/>
      <c r="BA22">
        <v>11</v>
      </c>
      <c r="BB22" s="71" t="s">
        <v>53</v>
      </c>
    </row>
    <row r="23" spans="1:54" ht="15" thickBot="1">
      <c r="A23" s="20"/>
      <c r="B23" s="20"/>
      <c r="C23" s="20"/>
      <c r="D23" s="20"/>
      <c r="E23" s="20"/>
      <c r="F23" s="20"/>
      <c r="G23" s="20"/>
      <c r="H23" s="20"/>
      <c r="I23" s="20"/>
      <c r="J23" s="20"/>
      <c r="K23" s="20"/>
      <c r="L23" s="20"/>
      <c r="M23" s="20"/>
      <c r="N23" s="20"/>
      <c r="O23" s="20"/>
      <c r="P23" s="20"/>
      <c r="BA23">
        <v>12</v>
      </c>
      <c r="BB23" s="71" t="s">
        <v>24</v>
      </c>
    </row>
    <row r="24" spans="1:54" ht="14.25">
      <c r="A24" s="20"/>
      <c r="B24" s="20"/>
      <c r="C24" s="20"/>
      <c r="D24" s="20"/>
      <c r="E24" s="20"/>
      <c r="F24" s="20"/>
      <c r="G24" s="20"/>
      <c r="H24" s="20"/>
      <c r="I24" s="20"/>
      <c r="J24" s="20"/>
      <c r="K24" s="20"/>
      <c r="L24" s="20"/>
      <c r="M24" s="20"/>
      <c r="N24" s="20"/>
      <c r="O24" s="20"/>
      <c r="P24" s="20"/>
      <c r="BA24">
        <v>13</v>
      </c>
      <c r="BB24" s="72" t="s">
        <v>54</v>
      </c>
    </row>
    <row r="25" spans="1:16" ht="12.75">
      <c r="A25" s="20"/>
      <c r="B25" s="20"/>
      <c r="C25" s="20"/>
      <c r="D25" s="20"/>
      <c r="E25" s="20"/>
      <c r="F25" s="20"/>
      <c r="G25" s="20"/>
      <c r="H25" s="20"/>
      <c r="I25" s="20"/>
      <c r="J25" s="20"/>
      <c r="K25" s="20"/>
      <c r="L25" s="20"/>
      <c r="M25" s="20"/>
      <c r="N25" s="20"/>
      <c r="O25" s="20"/>
      <c r="P25" s="20"/>
    </row>
    <row r="26" spans="1:55" ht="12.75">
      <c r="A26" s="20"/>
      <c r="B26" s="20"/>
      <c r="C26" s="20"/>
      <c r="D26" s="20"/>
      <c r="E26" s="20"/>
      <c r="F26" s="20"/>
      <c r="G26" s="20"/>
      <c r="H26" s="20"/>
      <c r="I26" s="20"/>
      <c r="J26" s="20"/>
      <c r="K26" s="20"/>
      <c r="L26" s="20"/>
      <c r="M26" s="20"/>
      <c r="N26" s="20"/>
      <c r="O26" s="20"/>
      <c r="P26" s="20"/>
      <c r="BB26" t="str">
        <f>VLOOKUP(BA11,BA12:BB24,2,FALSE)</f>
        <v>Half Marathon</v>
      </c>
      <c r="BC26" t="str">
        <f>CONCATENATE(BB6,BB26)</f>
        <v>FemaleHalf Marathon</v>
      </c>
    </row>
    <row r="27" spans="1:16" ht="12.75">
      <c r="A27" s="20"/>
      <c r="B27" s="20"/>
      <c r="C27" s="20"/>
      <c r="D27" s="20"/>
      <c r="E27" s="20"/>
      <c r="F27" s="20"/>
      <c r="G27" s="20"/>
      <c r="H27" s="20"/>
      <c r="I27" s="20"/>
      <c r="J27" s="20"/>
      <c r="K27" s="20"/>
      <c r="L27" s="20"/>
      <c r="M27" s="20"/>
      <c r="N27" s="20"/>
      <c r="O27" s="20"/>
      <c r="P27" s="20"/>
    </row>
    <row r="28" spans="1:16" ht="12.75">
      <c r="A28" s="20"/>
      <c r="B28" s="20"/>
      <c r="C28" s="20"/>
      <c r="D28" s="20"/>
      <c r="E28" s="20"/>
      <c r="F28" s="20"/>
      <c r="G28" s="20"/>
      <c r="H28" s="20"/>
      <c r="I28" s="20"/>
      <c r="J28" s="20"/>
      <c r="K28" s="20"/>
      <c r="L28" s="20"/>
      <c r="M28" s="20"/>
      <c r="N28" s="20"/>
      <c r="O28" s="20"/>
      <c r="P28" s="20"/>
    </row>
    <row r="29" spans="1:16" ht="12.75">
      <c r="A29" s="20"/>
      <c r="B29" s="20"/>
      <c r="C29" s="20"/>
      <c r="D29" s="20"/>
      <c r="E29" s="20"/>
      <c r="F29" s="20"/>
      <c r="G29" s="20"/>
      <c r="H29" s="20"/>
      <c r="I29" s="20"/>
      <c r="J29" s="20"/>
      <c r="K29" s="20"/>
      <c r="L29" s="20"/>
      <c r="M29" s="20"/>
      <c r="N29" s="20"/>
      <c r="O29" s="20"/>
      <c r="P29" s="20"/>
    </row>
    <row r="30" spans="1:16" ht="12.75">
      <c r="A30" s="20"/>
      <c r="B30" s="20"/>
      <c r="C30" s="20"/>
      <c r="D30" s="20"/>
      <c r="E30" s="20"/>
      <c r="F30" s="20"/>
      <c r="G30" s="20"/>
      <c r="H30" s="20"/>
      <c r="I30" s="20"/>
      <c r="J30" s="20"/>
      <c r="K30" s="20"/>
      <c r="L30" s="20"/>
      <c r="M30" s="20"/>
      <c r="N30" s="20"/>
      <c r="O30" s="20"/>
      <c r="P30" s="20"/>
    </row>
    <row r="31" spans="1:16" ht="12.75">
      <c r="A31" s="20"/>
      <c r="B31" s="20"/>
      <c r="C31" s="20"/>
      <c r="D31" s="20"/>
      <c r="E31" s="20"/>
      <c r="F31" s="20"/>
      <c r="G31" s="20"/>
      <c r="H31" s="20"/>
      <c r="I31" s="20"/>
      <c r="J31" s="20"/>
      <c r="K31" s="20"/>
      <c r="L31" s="20"/>
      <c r="M31" s="20"/>
      <c r="N31" s="20"/>
      <c r="O31" s="20"/>
      <c r="P31" s="20"/>
    </row>
    <row r="32" spans="1:16" ht="12.75">
      <c r="A32" s="20"/>
      <c r="B32" s="20"/>
      <c r="C32" s="20"/>
      <c r="D32" s="20"/>
      <c r="E32" s="20"/>
      <c r="F32" s="20"/>
      <c r="G32" s="20"/>
      <c r="H32" s="20"/>
      <c r="I32" s="20"/>
      <c r="J32" s="20"/>
      <c r="K32" s="20"/>
      <c r="L32" s="20"/>
      <c r="M32" s="20"/>
      <c r="N32" s="20"/>
      <c r="O32" s="20"/>
      <c r="P32" s="20"/>
    </row>
    <row r="33" spans="1:16" ht="12.75">
      <c r="A33" s="20"/>
      <c r="B33" s="20"/>
      <c r="C33" s="20"/>
      <c r="D33" s="20"/>
      <c r="E33" s="20"/>
      <c r="F33" s="20"/>
      <c r="G33" s="20"/>
      <c r="H33" s="20"/>
      <c r="I33" s="20"/>
      <c r="J33" s="20"/>
      <c r="K33" s="20"/>
      <c r="L33" s="20"/>
      <c r="M33" s="20"/>
      <c r="N33" s="20"/>
      <c r="O33" s="20"/>
      <c r="P33" s="20"/>
    </row>
    <row r="34" spans="1:16" ht="12.75">
      <c r="A34" s="20"/>
      <c r="B34" s="20"/>
      <c r="C34" s="20"/>
      <c r="D34" s="20"/>
      <c r="E34" s="20"/>
      <c r="F34" s="20"/>
      <c r="G34" s="20"/>
      <c r="H34" s="20"/>
      <c r="I34" s="20"/>
      <c r="J34" s="20"/>
      <c r="K34" s="20"/>
      <c r="L34" s="20"/>
      <c r="M34" s="20"/>
      <c r="N34" s="20"/>
      <c r="O34" s="20"/>
      <c r="P34" s="20"/>
    </row>
  </sheetData>
  <sheetProtection sheet="1" objects="1" scenarios="1"/>
  <mergeCells count="17">
    <mergeCell ref="G15:H15"/>
    <mergeCell ref="B10:N10"/>
    <mergeCell ref="G16:H16"/>
    <mergeCell ref="I14:N14"/>
    <mergeCell ref="I15:N15"/>
    <mergeCell ref="I16:N16"/>
    <mergeCell ref="J13:N13"/>
    <mergeCell ref="A2:B2"/>
    <mergeCell ref="C18:O18"/>
    <mergeCell ref="E2:L2"/>
    <mergeCell ref="BA4:BB5"/>
    <mergeCell ref="B15:D15"/>
    <mergeCell ref="B16:D16"/>
    <mergeCell ref="B13:D13"/>
    <mergeCell ref="G13:H13"/>
    <mergeCell ref="G14:H14"/>
    <mergeCell ref="BA7:BB10"/>
  </mergeCells>
  <hyperlinks>
    <hyperlink ref="A2:B2" location="'Front Page'!A1" display="Front Page"/>
  </hyperlinks>
  <printOptions/>
  <pageMargins left="0.75" right="0.75" top="1" bottom="1" header="0.5" footer="0.5"/>
  <pageSetup orientation="portrait" paperSize="9" r:id="rId3"/>
  <drawing r:id="rId2"/>
  <legacyDrawing r:id="rId1"/>
</worksheet>
</file>

<file path=xl/worksheets/sheet7.xml><?xml version="1.0" encoding="utf-8"?>
<worksheet xmlns="http://schemas.openxmlformats.org/spreadsheetml/2006/main" xmlns:r="http://schemas.openxmlformats.org/officeDocument/2006/relationships">
  <dimension ref="A1:BY60"/>
  <sheetViews>
    <sheetView zoomScale="82" zoomScaleNormal="82" workbookViewId="0" topLeftCell="A1">
      <selection activeCell="D14" sqref="D14"/>
    </sheetView>
  </sheetViews>
  <sheetFormatPr defaultColWidth="9.140625" defaultRowHeight="12.75"/>
  <cols>
    <col min="1" max="1" width="6.140625" style="73" customWidth="1"/>
    <col min="2" max="2" width="8.140625" style="73" customWidth="1"/>
    <col min="3" max="3" width="28.8515625" style="73" customWidth="1"/>
    <col min="4" max="4" width="9.8515625" style="73" bestFit="1" customWidth="1"/>
    <col min="5" max="5" width="11.28125" style="73" bestFit="1" customWidth="1"/>
    <col min="6" max="6" width="9.421875" style="73" bestFit="1" customWidth="1"/>
    <col min="7" max="7" width="14.57421875" style="73" customWidth="1"/>
    <col min="8" max="8" width="7.421875" style="73" customWidth="1"/>
    <col min="9" max="9" width="6.140625" style="73" customWidth="1"/>
    <col min="10" max="10" width="11.8515625" style="73" customWidth="1"/>
    <col min="11" max="11" width="11.140625" style="73" customWidth="1"/>
    <col min="12" max="12" width="9.421875" style="73" bestFit="1" customWidth="1"/>
    <col min="13" max="13" width="4.7109375" style="73" customWidth="1"/>
    <col min="14" max="52" width="9.140625" style="73" customWidth="1"/>
    <col min="53" max="53" width="0" style="73" hidden="1" customWidth="1"/>
    <col min="54" max="54" width="10.140625" style="73" hidden="1" customWidth="1"/>
    <col min="55" max="55" width="0" style="73" hidden="1" customWidth="1"/>
    <col min="56" max="56" width="27.421875" style="73" hidden="1" customWidth="1"/>
    <col min="57" max="61" width="0" style="73" hidden="1" customWidth="1"/>
    <col min="62" max="62" width="12.8515625" style="73" hidden="1" customWidth="1"/>
    <col min="63" max="66" width="0" style="73" hidden="1" customWidth="1"/>
    <col min="67" max="67" width="13.421875" style="73" hidden="1" customWidth="1"/>
    <col min="68" max="68" width="10.28125" style="73" hidden="1" customWidth="1"/>
    <col min="69" max="76" width="0" style="73" hidden="1" customWidth="1"/>
    <col min="77" max="16384" width="9.140625" style="73" customWidth="1"/>
  </cols>
  <sheetData>
    <row r="1" spans="1:77" ht="15.75" thickBot="1">
      <c r="A1" s="67"/>
      <c r="B1" s="67"/>
      <c r="C1" s="67"/>
      <c r="D1" s="67"/>
      <c r="E1" s="67"/>
      <c r="F1" s="67"/>
      <c r="G1" s="67"/>
      <c r="H1" s="67"/>
      <c r="I1" s="67"/>
      <c r="J1" s="67"/>
      <c r="K1" s="67"/>
      <c r="L1" s="67"/>
      <c r="M1" s="67"/>
      <c r="N1" s="67"/>
      <c r="O1" s="67"/>
      <c r="P1" s="67"/>
      <c r="Q1" s="67"/>
      <c r="AV1" s="431" t="s">
        <v>133</v>
      </c>
      <c r="AW1" s="431"/>
      <c r="AX1" s="431"/>
      <c r="AY1" s="431"/>
      <c r="AZ1" s="431"/>
      <c r="BA1" s="430" t="s">
        <v>254</v>
      </c>
      <c r="BB1" s="430"/>
      <c r="BC1" s="430"/>
      <c r="BD1" s="430"/>
      <c r="BE1" s="429" t="s">
        <v>255</v>
      </c>
      <c r="BF1" s="429"/>
      <c r="BG1" s="429"/>
      <c r="BH1" s="429"/>
      <c r="BI1" s="429"/>
      <c r="BJ1" s="429"/>
      <c r="BK1" s="429"/>
      <c r="BL1" s="429"/>
      <c r="BM1" s="429"/>
      <c r="BN1" s="429"/>
      <c r="BO1" s="429"/>
      <c r="BP1" s="429"/>
      <c r="BQ1" s="429"/>
      <c r="BR1" s="429"/>
      <c r="BS1" s="429"/>
      <c r="BT1" s="429"/>
      <c r="BU1" s="429"/>
      <c r="BV1" s="136"/>
      <c r="BW1" s="136"/>
      <c r="BX1" s="136"/>
      <c r="BY1" s="136"/>
    </row>
    <row r="2" spans="1:77" ht="30.75" customHeight="1">
      <c r="A2" s="224" t="s">
        <v>140</v>
      </c>
      <c r="B2" s="225"/>
      <c r="C2" s="61"/>
      <c r="D2" s="11"/>
      <c r="E2" s="432" t="s">
        <v>45</v>
      </c>
      <c r="F2" s="432"/>
      <c r="G2" s="432"/>
      <c r="H2" s="432"/>
      <c r="I2" s="432"/>
      <c r="J2" s="432"/>
      <c r="K2" s="432"/>
      <c r="L2" s="11"/>
      <c r="M2" s="13"/>
      <c r="N2" s="124"/>
      <c r="O2" s="124"/>
      <c r="P2" s="67"/>
      <c r="Q2" s="67"/>
      <c r="AV2" s="431"/>
      <c r="AW2" s="431"/>
      <c r="AX2" s="431"/>
      <c r="AY2" s="431"/>
      <c r="AZ2" s="431"/>
      <c r="BA2" s="430"/>
      <c r="BB2" s="430"/>
      <c r="BC2" s="430"/>
      <c r="BD2" s="430"/>
      <c r="BE2" s="429"/>
      <c r="BF2" s="429"/>
      <c r="BG2" s="429"/>
      <c r="BH2" s="429"/>
      <c r="BI2" s="429"/>
      <c r="BJ2" s="429"/>
      <c r="BK2" s="429"/>
      <c r="BL2" s="429"/>
      <c r="BM2" s="429"/>
      <c r="BN2" s="429"/>
      <c r="BO2" s="429"/>
      <c r="BP2" s="429"/>
      <c r="BQ2" s="429"/>
      <c r="BR2" s="429"/>
      <c r="BS2" s="429"/>
      <c r="BT2" s="429"/>
      <c r="BU2" s="429"/>
      <c r="BV2" s="136"/>
      <c r="BW2" s="136"/>
      <c r="BX2" s="136"/>
      <c r="BY2" s="136"/>
    </row>
    <row r="3" spans="1:17" ht="15">
      <c r="A3" s="67"/>
      <c r="B3" s="67"/>
      <c r="C3" s="67"/>
      <c r="D3" s="67"/>
      <c r="E3" s="67"/>
      <c r="F3" s="67"/>
      <c r="G3" s="67"/>
      <c r="H3" s="67"/>
      <c r="I3" s="67"/>
      <c r="J3" s="67"/>
      <c r="K3" s="67"/>
      <c r="L3" s="67"/>
      <c r="M3" s="67"/>
      <c r="N3" s="67"/>
      <c r="O3" s="67"/>
      <c r="P3" s="67"/>
      <c r="Q3" s="67"/>
    </row>
    <row r="4" spans="1:72" ht="10.5" customHeight="1" thickBot="1">
      <c r="A4" s="67"/>
      <c r="B4" s="67"/>
      <c r="C4" s="67"/>
      <c r="D4" s="67"/>
      <c r="E4" s="67"/>
      <c r="F4" s="67"/>
      <c r="G4" s="67"/>
      <c r="H4" s="67"/>
      <c r="I4" s="67"/>
      <c r="J4" s="67"/>
      <c r="K4" s="67"/>
      <c r="L4" s="67"/>
      <c r="M4" s="67"/>
      <c r="N4" s="67"/>
      <c r="O4" s="67"/>
      <c r="P4" s="67"/>
      <c r="Q4" s="67"/>
      <c r="BO4" s="75" t="s">
        <v>26</v>
      </c>
      <c r="BP4" s="122">
        <f>'League Races Female'!BS5</f>
        <v>39417</v>
      </c>
      <c r="BQ4" s="414" t="s">
        <v>131</v>
      </c>
      <c r="BR4" s="414"/>
      <c r="BS4" s="414"/>
      <c r="BT4" s="414"/>
    </row>
    <row r="5" spans="1:72" ht="18.75" customHeight="1">
      <c r="A5" s="67"/>
      <c r="B5" s="129" t="s">
        <v>56</v>
      </c>
      <c r="C5" s="125"/>
      <c r="D5" s="169" t="s">
        <v>26</v>
      </c>
      <c r="E5" s="418">
        <f>BP4</f>
        <v>39417</v>
      </c>
      <c r="F5" s="419"/>
      <c r="G5" s="420"/>
      <c r="H5" s="168"/>
      <c r="I5" s="168"/>
      <c r="J5" s="168"/>
      <c r="K5" s="168"/>
      <c r="L5" s="168"/>
      <c r="M5" s="168"/>
      <c r="N5" s="168"/>
      <c r="O5" s="67"/>
      <c r="P5" s="67"/>
      <c r="Q5" s="67"/>
      <c r="BA5" s="407" t="s">
        <v>253</v>
      </c>
      <c r="BB5" s="408"/>
      <c r="BC5" s="109"/>
      <c r="BD5" s="199">
        <v>10</v>
      </c>
      <c r="BE5" s="73" t="s">
        <v>162</v>
      </c>
      <c r="BG5" s="73">
        <f>'League Races Female'!BL6</f>
        <v>20</v>
      </c>
      <c r="BO5" s="75" t="s">
        <v>105</v>
      </c>
      <c r="BP5" s="123">
        <f>'League Races Female'!BN4</f>
        <v>5</v>
      </c>
      <c r="BQ5" s="414"/>
      <c r="BR5" s="414"/>
      <c r="BS5" s="414"/>
      <c r="BT5" s="414"/>
    </row>
    <row r="6" spans="1:72" ht="18.75" customHeight="1" thickBot="1">
      <c r="A6" s="67"/>
      <c r="B6" s="130" t="s">
        <v>124</v>
      </c>
      <c r="C6" s="127"/>
      <c r="D6" s="170" t="s">
        <v>19</v>
      </c>
      <c r="E6" s="415" t="str">
        <f>BP6</f>
        <v>10k</v>
      </c>
      <c r="F6" s="416"/>
      <c r="G6" s="417"/>
      <c r="H6" s="168"/>
      <c r="I6" s="168"/>
      <c r="J6" s="168"/>
      <c r="K6" s="168"/>
      <c r="L6" s="168"/>
      <c r="M6" s="168"/>
      <c r="N6" s="168"/>
      <c r="O6" s="67"/>
      <c r="P6" s="67"/>
      <c r="Q6" s="67"/>
      <c r="BA6" s="409"/>
      <c r="BB6" s="410"/>
      <c r="BC6" s="73">
        <v>1</v>
      </c>
      <c r="BD6" s="110" t="s">
        <v>116</v>
      </c>
      <c r="BF6" s="73" t="s">
        <v>10</v>
      </c>
      <c r="BO6" s="75" t="s">
        <v>19</v>
      </c>
      <c r="BP6" s="75" t="str">
        <f>'League Races Female'!BN5</f>
        <v>10k</v>
      </c>
      <c r="BQ6" s="414"/>
      <c r="BR6" s="414"/>
      <c r="BS6" s="414"/>
      <c r="BT6" s="414"/>
    </row>
    <row r="7" spans="1:70" ht="2.25" customHeight="1" hidden="1" thickBot="1">
      <c r="A7" s="67"/>
      <c r="B7" s="67"/>
      <c r="C7" s="67"/>
      <c r="D7" s="126"/>
      <c r="E7" s="126"/>
      <c r="F7" s="126"/>
      <c r="G7" s="67"/>
      <c r="H7" s="168"/>
      <c r="I7" s="168"/>
      <c r="J7" s="168"/>
      <c r="K7" s="168"/>
      <c r="L7" s="168"/>
      <c r="M7" s="168"/>
      <c r="N7" s="168"/>
      <c r="O7" s="67"/>
      <c r="P7" s="67"/>
      <c r="Q7" s="67"/>
      <c r="BA7" s="409"/>
      <c r="BB7" s="410"/>
      <c r="BC7" s="73">
        <v>2</v>
      </c>
      <c r="BD7" s="110" t="s">
        <v>13</v>
      </c>
      <c r="BF7" s="73" t="s">
        <v>10</v>
      </c>
      <c r="BH7" s="398" t="s">
        <v>55</v>
      </c>
      <c r="BI7" s="398"/>
      <c r="BJ7" s="398"/>
      <c r="BK7" s="398"/>
      <c r="BO7" s="398" t="s">
        <v>5</v>
      </c>
      <c r="BP7" s="398"/>
      <c r="BQ7" s="398"/>
      <c r="BR7" s="398"/>
    </row>
    <row r="8" spans="1:74" ht="15.75" thickBot="1">
      <c r="A8" s="67"/>
      <c r="B8" s="169" t="s">
        <v>123</v>
      </c>
      <c r="C8" s="129" t="s">
        <v>38</v>
      </c>
      <c r="D8" s="128" t="s">
        <v>89</v>
      </c>
      <c r="E8" s="128" t="s">
        <v>37</v>
      </c>
      <c r="F8" s="128" t="s">
        <v>4</v>
      </c>
      <c r="G8" s="131" t="s">
        <v>164</v>
      </c>
      <c r="H8" s="168"/>
      <c r="I8" s="168"/>
      <c r="J8" s="168"/>
      <c r="K8" s="168"/>
      <c r="L8" s="168"/>
      <c r="M8" s="168"/>
      <c r="N8" s="168"/>
      <c r="O8" s="67"/>
      <c r="P8" s="67"/>
      <c r="Q8" s="67"/>
      <c r="BA8" s="409"/>
      <c r="BB8" s="410"/>
      <c r="BC8" s="73">
        <v>3</v>
      </c>
      <c r="BD8" s="110" t="s">
        <v>14</v>
      </c>
      <c r="BF8" s="73" t="s">
        <v>10</v>
      </c>
      <c r="BH8" s="73" t="s">
        <v>123</v>
      </c>
      <c r="BI8" s="73" t="s">
        <v>38</v>
      </c>
      <c r="BJ8" s="73" t="s">
        <v>89</v>
      </c>
      <c r="BK8" s="73" t="s">
        <v>37</v>
      </c>
      <c r="BL8" s="73" t="s">
        <v>4</v>
      </c>
      <c r="BV8" s="73" t="s">
        <v>163</v>
      </c>
    </row>
    <row r="9" spans="1:76" ht="15.75" thickBot="1">
      <c r="A9" s="67"/>
      <c r="B9" s="174">
        <v>1</v>
      </c>
      <c r="C9" s="175" t="str">
        <f aca="true" t="shared" si="0" ref="C9:C33">VLOOKUP(CONCATENATE($BD$26,$B9),$BG$9:$BL$60,3,FALSE)</f>
        <v>Anita Saycell</v>
      </c>
      <c r="D9" s="172">
        <f aca="true" t="shared" si="1" ref="D9:D33">VLOOKUP(CONCATENATE($BD$26,$B9),$BG$9:$BL$60,4,FALSE)</f>
        <v>0.03099537037037037</v>
      </c>
      <c r="E9" s="173">
        <f aca="true" t="shared" si="2" ref="E9:E33">VLOOKUP(CONCATENATE($BD$26,$B9),$BG$9:$BL$60,5,FALSE)</f>
        <v>68.25989544436146</v>
      </c>
      <c r="F9" s="171">
        <f aca="true" t="shared" si="3" ref="F9:F33">VLOOKUP(CONCATENATE($BD$26,$B9),$BG$9:$BL$60,6,FALSE)</f>
        <v>30</v>
      </c>
      <c r="G9" s="176">
        <f>BX9</f>
        <v>5</v>
      </c>
      <c r="H9" s="168"/>
      <c r="I9" s="168"/>
      <c r="J9" s="168"/>
      <c r="K9" s="168"/>
      <c r="L9" s="168"/>
      <c r="M9" s="168"/>
      <c r="N9" s="168"/>
      <c r="O9" s="67"/>
      <c r="P9" s="67"/>
      <c r="Q9" s="67"/>
      <c r="BA9" s="409"/>
      <c r="BB9" s="410"/>
      <c r="BC9" s="73">
        <v>4</v>
      </c>
      <c r="BD9" s="110" t="s">
        <v>15</v>
      </c>
      <c r="BF9" s="73" t="s">
        <v>10</v>
      </c>
      <c r="BG9" s="73" t="str">
        <f>CONCATENATE("Female",BH9)</f>
        <v>Female1</v>
      </c>
      <c r="BH9" s="73">
        <v>1</v>
      </c>
      <c r="BI9" s="73" t="str">
        <f>VLOOKUP(CONCATENATE("In",$B9),'League Races Female'!$BM$7:$BR$85,5,FALSE)</f>
        <v>Anita Saycell</v>
      </c>
      <c r="BJ9" s="111">
        <f>VLOOKUP(CONCATENATE("In",$B9),'League Races Female'!$BM$7:$BR$85,3,FALSE)</f>
        <v>0.03099537037037037</v>
      </c>
      <c r="BK9" s="112">
        <f>VLOOKUP(CONCATENATE("In",$B9),'League Races Female'!$BM$7:$BR$85,4,FALSE)</f>
        <v>68.25989544436146</v>
      </c>
      <c r="BL9" s="112">
        <f>VLOOKUP(CONCATENATE("In",$B9),'League Races Female'!$BM$7:$BR$85,6,FALSE)</f>
        <v>30</v>
      </c>
      <c r="BM9" s="112"/>
      <c r="BN9" s="112"/>
      <c r="BP9" s="413" t="s">
        <v>130</v>
      </c>
      <c r="BQ9" s="413"/>
      <c r="BR9" s="79">
        <f>VLOOKUP(CONCATENATE($BD$26,$K$26),'Base Calculation'!$A$5:$O$89,$BP$5+2,FALSE)</f>
        <v>0.025537003509242494</v>
      </c>
      <c r="BV9" s="73" t="b">
        <f>ISERROR(E9)</f>
        <v>0</v>
      </c>
      <c r="BW9" s="73">
        <f aca="true" t="shared" si="4" ref="BW9:BW33">IF(BV9=FALSE,E9,0)</f>
        <v>68.25989544436146</v>
      </c>
      <c r="BX9" s="73">
        <f>IF(BW9&gt;0,RANK(BW9,BW$9:BW$33,0),"")</f>
        <v>5</v>
      </c>
    </row>
    <row r="10" spans="1:76" ht="15.75" thickBot="1">
      <c r="A10" s="67"/>
      <c r="B10" s="174">
        <v>2</v>
      </c>
      <c r="C10" s="175" t="str">
        <f t="shared" si="0"/>
        <v>Bridget Parkinson</v>
      </c>
      <c r="D10" s="172">
        <f t="shared" si="1"/>
        <v>0.03217592592592593</v>
      </c>
      <c r="E10" s="173">
        <f t="shared" si="2"/>
        <v>65.75539568345323</v>
      </c>
      <c r="F10" s="171">
        <f t="shared" si="3"/>
        <v>30</v>
      </c>
      <c r="G10" s="176">
        <f aca="true" t="shared" si="5" ref="G10:G33">BX10</f>
        <v>9</v>
      </c>
      <c r="H10" s="168"/>
      <c r="I10" s="168"/>
      <c r="J10" s="168"/>
      <c r="K10" s="168"/>
      <c r="L10" s="168"/>
      <c r="M10" s="168"/>
      <c r="N10" s="168"/>
      <c r="O10" s="67"/>
      <c r="P10" s="67"/>
      <c r="Q10" s="67"/>
      <c r="BA10" s="409"/>
      <c r="BB10" s="410"/>
      <c r="BC10" s="73">
        <v>5</v>
      </c>
      <c r="BD10" s="110" t="s">
        <v>117</v>
      </c>
      <c r="BF10" s="73" t="s">
        <v>10</v>
      </c>
      <c r="BG10" s="73" t="str">
        <f aca="true" t="shared" si="6" ref="BG10:BG33">CONCATENATE("Female",BH10)</f>
        <v>Female2</v>
      </c>
      <c r="BH10" s="73">
        <v>2</v>
      </c>
      <c r="BI10" s="73" t="str">
        <f>VLOOKUP(CONCATENATE("In",$B10),'League Races Female'!$BM$7:$BR$85,5,FALSE)</f>
        <v>Bridget Parkinson</v>
      </c>
      <c r="BJ10" s="111">
        <f>VLOOKUP(CONCATENATE("In",$B10),'League Races Female'!$BM$7:$BR$85,3,FALSE)</f>
        <v>0.03217592592592593</v>
      </c>
      <c r="BK10" s="112">
        <f>VLOOKUP(CONCATENATE("In",$B10),'League Races Female'!$BM$7:$BR$85,4,FALSE)</f>
        <v>65.75539568345323</v>
      </c>
      <c r="BL10" s="112">
        <f>VLOOKUP(CONCATENATE("In",$B10),'League Races Female'!$BM$7:$BR$85,6,FALSE)</f>
        <v>30</v>
      </c>
      <c r="BM10" s="112"/>
      <c r="BN10" s="112"/>
      <c r="BP10" s="413"/>
      <c r="BQ10" s="413"/>
      <c r="BR10" s="75"/>
      <c r="BV10" s="73" t="b">
        <f aca="true" t="shared" si="7" ref="BV10:BV33">ISERROR(E10)</f>
        <v>0</v>
      </c>
      <c r="BW10" s="73">
        <f t="shared" si="4"/>
        <v>65.75539568345323</v>
      </c>
      <c r="BX10" s="73">
        <f aca="true" t="shared" si="8" ref="BX10:BX33">IF(BW10&gt;0,RANK(BW10,BW$9:BW$33,0),"")</f>
        <v>9</v>
      </c>
    </row>
    <row r="11" spans="1:76" ht="15.75" thickBot="1">
      <c r="A11" s="67"/>
      <c r="B11" s="174">
        <v>3</v>
      </c>
      <c r="C11" s="175" t="str">
        <f t="shared" si="0"/>
        <v>Elizabeth Stieler</v>
      </c>
      <c r="D11" s="172">
        <f t="shared" si="1"/>
        <v>0.03288194444444444</v>
      </c>
      <c r="E11" s="173">
        <f t="shared" si="2"/>
        <v>65.7976695026974</v>
      </c>
      <c r="F11" s="171">
        <f t="shared" si="3"/>
        <v>34</v>
      </c>
      <c r="G11" s="176">
        <f t="shared" si="5"/>
        <v>8</v>
      </c>
      <c r="H11" s="168"/>
      <c r="I11" s="168"/>
      <c r="J11" s="168"/>
      <c r="K11" s="168"/>
      <c r="L11" s="168"/>
      <c r="M11" s="168"/>
      <c r="N11" s="168"/>
      <c r="O11" s="67"/>
      <c r="P11" s="67"/>
      <c r="Q11" s="67"/>
      <c r="BA11" s="409"/>
      <c r="BB11" s="410"/>
      <c r="BC11" s="73">
        <v>6</v>
      </c>
      <c r="BD11" s="113" t="s">
        <v>16</v>
      </c>
      <c r="BF11" s="73" t="s">
        <v>11</v>
      </c>
      <c r="BG11" s="73" t="str">
        <f t="shared" si="6"/>
        <v>Female3</v>
      </c>
      <c r="BH11" s="73">
        <v>3</v>
      </c>
      <c r="BI11" s="73" t="str">
        <f>VLOOKUP(CONCATENATE("In",$B11),'League Races Female'!$BM$7:$BR$85,5,FALSE)</f>
        <v>Elizabeth Stieler</v>
      </c>
      <c r="BJ11" s="111">
        <f>VLOOKUP(CONCATENATE("In",$B11),'League Races Female'!$BM$7:$BR$85,3,FALSE)</f>
        <v>0.03288194444444444</v>
      </c>
      <c r="BK11" s="112">
        <f>VLOOKUP(CONCATENATE("In",$B11),'League Races Female'!$BM$7:$BR$85,4,FALSE)</f>
        <v>65.7976695026974</v>
      </c>
      <c r="BL11" s="112">
        <f>VLOOKUP(CONCATENATE("In",$B11),'League Races Female'!$BM$7:$BR$85,6,FALSE)</f>
        <v>34</v>
      </c>
      <c r="BM11" s="112"/>
      <c r="BN11" s="112"/>
      <c r="BP11" s="413"/>
      <c r="BQ11" s="413"/>
      <c r="BR11" s="79">
        <f>VLOOKUP(CONCATENATE($BD$26,$K$28),'Base Calculation'!$A$5:$O$89,$BP$5+2,FALSE)</f>
        <v>0.02729283721285785</v>
      </c>
      <c r="BV11" s="73" t="b">
        <f t="shared" si="7"/>
        <v>0</v>
      </c>
      <c r="BW11" s="73">
        <f t="shared" si="4"/>
        <v>65.7976695026974</v>
      </c>
      <c r="BX11" s="73">
        <f t="shared" si="8"/>
        <v>8</v>
      </c>
    </row>
    <row r="12" spans="1:76" ht="15.75" thickBot="1">
      <c r="A12" s="67"/>
      <c r="B12" s="174">
        <v>4</v>
      </c>
      <c r="C12" s="175" t="str">
        <f t="shared" si="0"/>
        <v>Anita Worthing</v>
      </c>
      <c r="D12" s="172">
        <f t="shared" si="1"/>
        <v>0.03302083333333333</v>
      </c>
      <c r="E12" s="173">
        <f t="shared" si="2"/>
        <v>75.11477809294756</v>
      </c>
      <c r="F12" s="171">
        <f t="shared" si="3"/>
        <v>52</v>
      </c>
      <c r="G12" s="176">
        <f t="shared" si="5"/>
        <v>1</v>
      </c>
      <c r="H12" s="168"/>
      <c r="I12" s="168"/>
      <c r="J12" s="168"/>
      <c r="K12" s="168"/>
      <c r="L12" s="168"/>
      <c r="M12" s="168"/>
      <c r="N12" s="168"/>
      <c r="O12" s="67"/>
      <c r="P12" s="67"/>
      <c r="Q12" s="67"/>
      <c r="BA12" s="409"/>
      <c r="BB12" s="410"/>
      <c r="BC12" s="73">
        <v>7</v>
      </c>
      <c r="BD12" s="113" t="s">
        <v>17</v>
      </c>
      <c r="BF12" s="73" t="s">
        <v>11</v>
      </c>
      <c r="BG12" s="73" t="str">
        <f t="shared" si="6"/>
        <v>Female4</v>
      </c>
      <c r="BH12" s="73">
        <v>4</v>
      </c>
      <c r="BI12" s="73" t="str">
        <f>VLOOKUP(CONCATENATE("In",$B12),'League Races Female'!$BM$7:$BR$85,5,FALSE)</f>
        <v>Anita Worthing</v>
      </c>
      <c r="BJ12" s="111">
        <f>VLOOKUP(CONCATENATE("In",$B12),'League Races Female'!$BM$7:$BR$85,3,FALSE)</f>
        <v>0.03302083333333333</v>
      </c>
      <c r="BK12" s="112">
        <f>VLOOKUP(CONCATENATE("In",$B12),'League Races Female'!$BM$7:$BR$85,4,FALSE)</f>
        <v>75.11477809294756</v>
      </c>
      <c r="BL12" s="112">
        <f>VLOOKUP(CONCATENATE("In",$B12),'League Races Female'!$BM$7:$BR$85,6,FALSE)</f>
        <v>52</v>
      </c>
      <c r="BM12" s="112"/>
      <c r="BN12" s="112"/>
      <c r="BV12" s="73" t="b">
        <f t="shared" si="7"/>
        <v>0</v>
      </c>
      <c r="BW12" s="73">
        <f t="shared" si="4"/>
        <v>75.11477809294756</v>
      </c>
      <c r="BX12" s="73">
        <f t="shared" si="8"/>
        <v>1</v>
      </c>
    </row>
    <row r="13" spans="1:76" ht="15.75" thickBot="1">
      <c r="A13" s="67"/>
      <c r="B13" s="174">
        <v>5</v>
      </c>
      <c r="C13" s="175" t="str">
        <f t="shared" si="0"/>
        <v>Kate O'Sullivan</v>
      </c>
      <c r="D13" s="172">
        <f t="shared" si="1"/>
        <v>0.03351851851851852</v>
      </c>
      <c r="E13" s="173">
        <f t="shared" si="2"/>
        <v>68.80482555191408</v>
      </c>
      <c r="F13" s="171">
        <f t="shared" si="3"/>
        <v>43</v>
      </c>
      <c r="G13" s="176">
        <f t="shared" si="5"/>
        <v>4</v>
      </c>
      <c r="H13" s="67"/>
      <c r="I13" s="67"/>
      <c r="J13" s="67"/>
      <c r="K13" s="67"/>
      <c r="L13" s="67"/>
      <c r="M13" s="67"/>
      <c r="N13" s="67"/>
      <c r="O13" s="67"/>
      <c r="P13" s="67"/>
      <c r="Q13" s="67"/>
      <c r="BA13" s="409"/>
      <c r="BB13" s="410"/>
      <c r="BC13" s="73">
        <v>8</v>
      </c>
      <c r="BD13" s="113" t="s">
        <v>28</v>
      </c>
      <c r="BF13" s="73" t="s">
        <v>11</v>
      </c>
      <c r="BG13" s="73" t="str">
        <f t="shared" si="6"/>
        <v>Female5</v>
      </c>
      <c r="BH13" s="73">
        <v>5</v>
      </c>
      <c r="BI13" s="73" t="str">
        <f>VLOOKUP(CONCATENATE("In",$B13),'League Races Female'!$BM$7:$BR$85,5,FALSE)</f>
        <v>Kate O'Sullivan</v>
      </c>
      <c r="BJ13" s="111">
        <f>VLOOKUP(CONCATENATE("In",$B13),'League Races Female'!$BM$7:$BR$85,3,FALSE)</f>
        <v>0.03351851851851852</v>
      </c>
      <c r="BK13" s="112">
        <f>VLOOKUP(CONCATENATE("In",$B13),'League Races Female'!$BM$7:$BR$85,4,FALSE)</f>
        <v>68.80482555191408</v>
      </c>
      <c r="BL13" s="112">
        <f>VLOOKUP(CONCATENATE("In",$B13),'League Races Female'!$BM$7:$BR$85,6,FALSE)</f>
        <v>43</v>
      </c>
      <c r="BM13" s="112"/>
      <c r="BN13" s="112"/>
      <c r="BV13" s="73" t="b">
        <f t="shared" si="7"/>
        <v>0</v>
      </c>
      <c r="BW13" s="73">
        <f t="shared" si="4"/>
        <v>68.80482555191408</v>
      </c>
      <c r="BX13" s="73">
        <f t="shared" si="8"/>
        <v>4</v>
      </c>
    </row>
    <row r="14" spans="1:76" ht="15.75" thickBot="1">
      <c r="A14" s="67"/>
      <c r="B14" s="174">
        <v>6</v>
      </c>
      <c r="C14" s="175" t="str">
        <f t="shared" si="0"/>
        <v>Delor Harvey</v>
      </c>
      <c r="D14" s="172">
        <f t="shared" si="1"/>
        <v>0.03351863425925926</v>
      </c>
      <c r="E14" s="173">
        <f t="shared" si="2"/>
        <v>67.34378427497681</v>
      </c>
      <c r="F14" s="171">
        <f t="shared" si="3"/>
        <v>40</v>
      </c>
      <c r="G14" s="176">
        <f t="shared" si="5"/>
        <v>6</v>
      </c>
      <c r="H14" s="67"/>
      <c r="I14" s="67"/>
      <c r="J14" s="67"/>
      <c r="K14" s="67"/>
      <c r="L14" s="67"/>
      <c r="M14" s="67"/>
      <c r="N14" s="67"/>
      <c r="O14" s="67"/>
      <c r="P14" s="67"/>
      <c r="Q14" s="67"/>
      <c r="BA14" s="409"/>
      <c r="BB14" s="410"/>
      <c r="BC14" s="73">
        <v>9</v>
      </c>
      <c r="BD14" s="113" t="s">
        <v>29</v>
      </c>
      <c r="BF14" s="73" t="s">
        <v>11</v>
      </c>
      <c r="BG14" s="73" t="str">
        <f t="shared" si="6"/>
        <v>Female6</v>
      </c>
      <c r="BH14" s="73">
        <v>6</v>
      </c>
      <c r="BI14" s="73" t="str">
        <f>VLOOKUP(CONCATENATE("In",$B14),'League Races Female'!$BM$7:$BR$85,5,FALSE)</f>
        <v>Delor Harvey</v>
      </c>
      <c r="BJ14" s="111">
        <f>VLOOKUP(CONCATENATE("In",$B14),'League Races Female'!$BM$7:$BR$85,3,FALSE)</f>
        <v>0.03351863425925926</v>
      </c>
      <c r="BK14" s="112">
        <f>VLOOKUP(CONCATENATE("In",$B14),'League Races Female'!$BM$7:$BR$85,4,FALSE)</f>
        <v>67.34378427497681</v>
      </c>
      <c r="BL14" s="112">
        <f>VLOOKUP(CONCATENATE("In",$B14),'League Races Female'!$BM$7:$BR$85,6,FALSE)</f>
        <v>40</v>
      </c>
      <c r="BM14" s="112"/>
      <c r="BN14" s="112"/>
      <c r="BV14" s="73" t="b">
        <f t="shared" si="7"/>
        <v>0</v>
      </c>
      <c r="BW14" s="73">
        <f t="shared" si="4"/>
        <v>67.34378427497681</v>
      </c>
      <c r="BX14" s="73">
        <f t="shared" si="8"/>
        <v>6</v>
      </c>
    </row>
    <row r="15" spans="1:76" ht="15.75" thickBot="1">
      <c r="A15" s="67"/>
      <c r="B15" s="174">
        <v>7</v>
      </c>
      <c r="C15" s="175" t="str">
        <f t="shared" si="0"/>
        <v>Glenda Roberts</v>
      </c>
      <c r="D15" s="172">
        <f t="shared" si="1"/>
        <v>0.03383101851851852</v>
      </c>
      <c r="E15" s="173">
        <f t="shared" si="2"/>
        <v>74.72635661960037</v>
      </c>
      <c r="F15" s="171">
        <f t="shared" si="3"/>
        <v>54</v>
      </c>
      <c r="G15" s="176">
        <f t="shared" si="5"/>
        <v>2</v>
      </c>
      <c r="H15" s="67"/>
      <c r="I15" s="133"/>
      <c r="J15" s="133"/>
      <c r="K15" s="133"/>
      <c r="L15" s="133"/>
      <c r="M15" s="133"/>
      <c r="N15" s="133"/>
      <c r="O15" s="133"/>
      <c r="P15" s="133"/>
      <c r="Q15" s="67"/>
      <c r="BA15" s="409"/>
      <c r="BB15" s="410"/>
      <c r="BC15" s="73">
        <v>10</v>
      </c>
      <c r="BD15" s="113" t="s">
        <v>18</v>
      </c>
      <c r="BF15" s="73" t="s">
        <v>11</v>
      </c>
      <c r="BG15" s="73" t="str">
        <f t="shared" si="6"/>
        <v>Female7</v>
      </c>
      <c r="BH15" s="73">
        <v>7</v>
      </c>
      <c r="BI15" s="73" t="str">
        <f>VLOOKUP(CONCATENATE("In",$B15),'League Races Female'!$BM$7:$BR$85,5,FALSE)</f>
        <v>Glenda Roberts</v>
      </c>
      <c r="BJ15" s="111">
        <f>VLOOKUP(CONCATENATE("In",$B15),'League Races Female'!$BM$7:$BR$85,3,FALSE)</f>
        <v>0.03383101851851852</v>
      </c>
      <c r="BK15" s="112">
        <f>VLOOKUP(CONCATENATE("In",$B15),'League Races Female'!$BM$7:$BR$85,4,FALSE)</f>
        <v>74.72635661960037</v>
      </c>
      <c r="BL15" s="112">
        <f>VLOOKUP(CONCATENATE("In",$B15),'League Races Female'!$BM$7:$BR$85,6,FALSE)</f>
        <v>54</v>
      </c>
      <c r="BM15" s="112"/>
      <c r="BN15" s="112"/>
      <c r="BV15" s="73" t="b">
        <f t="shared" si="7"/>
        <v>0</v>
      </c>
      <c r="BW15" s="73">
        <f t="shared" si="4"/>
        <v>74.72635661960037</v>
      </c>
      <c r="BX15" s="73">
        <f t="shared" si="8"/>
        <v>2</v>
      </c>
    </row>
    <row r="16" spans="1:76" ht="15.75" thickBot="1">
      <c r="A16" s="67"/>
      <c r="B16" s="174">
        <v>8</v>
      </c>
      <c r="C16" s="175" t="str">
        <f t="shared" si="0"/>
        <v>Helen Williams</v>
      </c>
      <c r="D16" s="172">
        <f t="shared" si="1"/>
        <v>0.033854166666666664</v>
      </c>
      <c r="E16" s="173">
        <f t="shared" si="2"/>
        <v>69.67193589267168</v>
      </c>
      <c r="F16" s="171">
        <f t="shared" si="3"/>
        <v>46</v>
      </c>
      <c r="G16" s="176">
        <f t="shared" si="5"/>
        <v>3</v>
      </c>
      <c r="H16" s="67"/>
      <c r="I16" s="133"/>
      <c r="J16" s="133"/>
      <c r="K16" s="133"/>
      <c r="L16" s="133"/>
      <c r="M16" s="133"/>
      <c r="N16" s="133"/>
      <c r="O16" s="133"/>
      <c r="P16" s="133"/>
      <c r="Q16" s="67"/>
      <c r="BA16" s="409"/>
      <c r="BB16" s="410"/>
      <c r="BC16" s="73">
        <v>11</v>
      </c>
      <c r="BD16" s="114" t="s">
        <v>30</v>
      </c>
      <c r="BF16" s="73" t="s">
        <v>12</v>
      </c>
      <c r="BG16" s="73" t="str">
        <f t="shared" si="6"/>
        <v>Female8</v>
      </c>
      <c r="BH16" s="73">
        <v>8</v>
      </c>
      <c r="BI16" s="73" t="str">
        <f>VLOOKUP(CONCATENATE("In",$B16),'League Races Female'!$BM$7:$BR$85,5,FALSE)</f>
        <v>Helen Williams</v>
      </c>
      <c r="BJ16" s="111">
        <f>VLOOKUP(CONCATENATE("In",$B16),'League Races Female'!$BM$7:$BR$85,3,FALSE)</f>
        <v>0.033854166666666664</v>
      </c>
      <c r="BK16" s="112">
        <f>VLOOKUP(CONCATENATE("In",$B16),'League Races Female'!$BM$7:$BR$85,4,FALSE)</f>
        <v>69.67193589267168</v>
      </c>
      <c r="BL16" s="112">
        <f>VLOOKUP(CONCATENATE("In",$B16),'League Races Female'!$BM$7:$BR$85,6,FALSE)</f>
        <v>46</v>
      </c>
      <c r="BM16" s="112"/>
      <c r="BN16" s="112"/>
      <c r="BV16" s="73" t="b">
        <f t="shared" si="7"/>
        <v>0</v>
      </c>
      <c r="BW16" s="73">
        <f t="shared" si="4"/>
        <v>69.67193589267168</v>
      </c>
      <c r="BX16" s="73">
        <f t="shared" si="8"/>
        <v>3</v>
      </c>
    </row>
    <row r="17" spans="1:76" ht="15.75" thickBot="1">
      <c r="A17" s="67"/>
      <c r="B17" s="174">
        <v>9</v>
      </c>
      <c r="C17" s="175" t="str">
        <f t="shared" si="0"/>
        <v>Emma Smith</v>
      </c>
      <c r="D17" s="172">
        <f t="shared" si="1"/>
        <v>0.03434027777777778</v>
      </c>
      <c r="E17" s="173">
        <f t="shared" si="2"/>
        <v>61.611054937647445</v>
      </c>
      <c r="F17" s="171">
        <f t="shared" si="3"/>
        <v>30</v>
      </c>
      <c r="G17" s="176">
        <f t="shared" si="5"/>
        <v>13</v>
      </c>
      <c r="H17" s="67"/>
      <c r="I17" s="133"/>
      <c r="J17" s="133"/>
      <c r="K17" s="133"/>
      <c r="L17" s="133"/>
      <c r="M17" s="133"/>
      <c r="N17" s="133"/>
      <c r="O17" s="133"/>
      <c r="P17" s="133"/>
      <c r="Q17" s="67"/>
      <c r="BA17" s="409"/>
      <c r="BB17" s="410"/>
      <c r="BC17" s="73">
        <v>12</v>
      </c>
      <c r="BD17" s="114" t="s">
        <v>31</v>
      </c>
      <c r="BF17" s="73" t="s">
        <v>12</v>
      </c>
      <c r="BG17" s="73" t="str">
        <f t="shared" si="6"/>
        <v>Female9</v>
      </c>
      <c r="BH17" s="73">
        <v>9</v>
      </c>
      <c r="BI17" s="73" t="str">
        <f>VLOOKUP(CONCATENATE("In",$B17),'League Races Female'!$BM$7:$BR$85,5,FALSE)</f>
        <v>Emma Smith</v>
      </c>
      <c r="BJ17" s="111">
        <f>VLOOKUP(CONCATENATE("In",$B17),'League Races Female'!$BM$7:$BR$85,3,FALSE)</f>
        <v>0.03434027777777778</v>
      </c>
      <c r="BK17" s="112">
        <f>VLOOKUP(CONCATENATE("In",$B17),'League Races Female'!$BM$7:$BR$85,4,FALSE)</f>
        <v>61.611054937647445</v>
      </c>
      <c r="BL17" s="112">
        <f>VLOOKUP(CONCATENATE("In",$B17),'League Races Female'!$BM$7:$BR$85,6,FALSE)</f>
        <v>30</v>
      </c>
      <c r="BM17" s="112"/>
      <c r="BN17" s="112"/>
      <c r="BV17" s="73" t="b">
        <f t="shared" si="7"/>
        <v>0</v>
      </c>
      <c r="BW17" s="73">
        <f t="shared" si="4"/>
        <v>61.611054937647445</v>
      </c>
      <c r="BX17" s="73">
        <f t="shared" si="8"/>
        <v>13</v>
      </c>
    </row>
    <row r="18" spans="1:76" ht="15.75" thickBot="1">
      <c r="A18" s="67"/>
      <c r="B18" s="174">
        <v>10</v>
      </c>
      <c r="C18" s="175" t="str">
        <f t="shared" si="0"/>
        <v>Anwen James</v>
      </c>
      <c r="D18" s="172">
        <f t="shared" si="1"/>
        <v>0.03460648148148148</v>
      </c>
      <c r="E18" s="173">
        <f t="shared" si="2"/>
        <v>66.1585583224969</v>
      </c>
      <c r="F18" s="171">
        <f t="shared" si="3"/>
        <v>42</v>
      </c>
      <c r="G18" s="176">
        <f t="shared" si="5"/>
        <v>7</v>
      </c>
      <c r="H18" s="67"/>
      <c r="I18" s="133"/>
      <c r="J18" s="133"/>
      <c r="K18" s="133"/>
      <c r="L18" s="133"/>
      <c r="M18" s="133"/>
      <c r="N18" s="133"/>
      <c r="O18" s="133"/>
      <c r="P18" s="133"/>
      <c r="Q18" s="67"/>
      <c r="BA18" s="409"/>
      <c r="BB18" s="410"/>
      <c r="BC18" s="73">
        <v>13</v>
      </c>
      <c r="BD18" s="114" t="s">
        <v>32</v>
      </c>
      <c r="BF18" s="73" t="s">
        <v>12</v>
      </c>
      <c r="BG18" s="73" t="str">
        <f t="shared" si="6"/>
        <v>Female10</v>
      </c>
      <c r="BH18" s="73">
        <v>10</v>
      </c>
      <c r="BI18" s="73" t="str">
        <f>VLOOKUP(CONCATENATE("In",$B18),'League Races Female'!$BM$7:$BR$85,5,FALSE)</f>
        <v>Anwen James</v>
      </c>
      <c r="BJ18" s="111">
        <f>VLOOKUP(CONCATENATE("In",$B18),'League Races Female'!$BM$7:$BR$85,3,FALSE)</f>
        <v>0.03460648148148148</v>
      </c>
      <c r="BK18" s="112">
        <f>VLOOKUP(CONCATENATE("In",$B18),'League Races Female'!$BM$7:$BR$85,4,FALSE)</f>
        <v>66.1585583224969</v>
      </c>
      <c r="BL18" s="112">
        <f>VLOOKUP(CONCATENATE("In",$B18),'League Races Female'!$BM$7:$BR$85,6,FALSE)</f>
        <v>42</v>
      </c>
      <c r="BM18" s="112"/>
      <c r="BN18" s="112"/>
      <c r="BV18" s="73" t="b">
        <f t="shared" si="7"/>
        <v>0</v>
      </c>
      <c r="BW18" s="73">
        <f t="shared" si="4"/>
        <v>66.1585583224969</v>
      </c>
      <c r="BX18" s="73">
        <f t="shared" si="8"/>
        <v>7</v>
      </c>
    </row>
    <row r="19" spans="1:76" ht="15.75" thickBot="1">
      <c r="A19" s="67"/>
      <c r="B19" s="174">
        <v>11</v>
      </c>
      <c r="C19" s="175" t="str">
        <f t="shared" si="0"/>
        <v>Marion Garson</v>
      </c>
      <c r="D19" s="172">
        <f t="shared" si="1"/>
        <v>0.03579861111111111</v>
      </c>
      <c r="E19" s="173">
        <f t="shared" si="2"/>
        <v>64.42249427686491</v>
      </c>
      <c r="F19" s="171">
        <f t="shared" si="3"/>
        <v>43</v>
      </c>
      <c r="G19" s="176">
        <f t="shared" si="5"/>
        <v>10</v>
      </c>
      <c r="H19" s="67"/>
      <c r="I19" s="133"/>
      <c r="J19" s="133"/>
      <c r="K19" s="133"/>
      <c r="L19" s="133"/>
      <c r="M19" s="133"/>
      <c r="N19" s="133"/>
      <c r="O19" s="133"/>
      <c r="P19" s="133"/>
      <c r="Q19" s="67"/>
      <c r="BA19" s="409"/>
      <c r="BB19" s="410"/>
      <c r="BC19" s="73">
        <v>14</v>
      </c>
      <c r="BD19" s="114" t="s">
        <v>33</v>
      </c>
      <c r="BF19" s="73" t="s">
        <v>12</v>
      </c>
      <c r="BG19" s="73" t="str">
        <f t="shared" si="6"/>
        <v>Female11</v>
      </c>
      <c r="BH19" s="73">
        <v>11</v>
      </c>
      <c r="BI19" s="73" t="str">
        <f>VLOOKUP(CONCATENATE("In",$B19),'League Races Female'!$BM$7:$BR$85,5,FALSE)</f>
        <v>Marion Garson</v>
      </c>
      <c r="BJ19" s="111">
        <f>VLOOKUP(CONCATENATE("In",$B19),'League Races Female'!$BM$7:$BR$85,3,FALSE)</f>
        <v>0.03579861111111111</v>
      </c>
      <c r="BK19" s="112">
        <f>VLOOKUP(CONCATENATE("In",$B19),'League Races Female'!$BM$7:$BR$85,4,FALSE)</f>
        <v>64.42249427686491</v>
      </c>
      <c r="BL19" s="112">
        <f>VLOOKUP(CONCATENATE("In",$B19),'League Races Female'!$BM$7:$BR$85,6,FALSE)</f>
        <v>43</v>
      </c>
      <c r="BM19" s="112"/>
      <c r="BN19" s="112"/>
      <c r="BV19" s="73" t="b">
        <f t="shared" si="7"/>
        <v>0</v>
      </c>
      <c r="BW19" s="73">
        <f t="shared" si="4"/>
        <v>64.42249427686491</v>
      </c>
      <c r="BX19" s="73">
        <f t="shared" si="8"/>
        <v>10</v>
      </c>
    </row>
    <row r="20" spans="1:76" ht="15.75" thickBot="1">
      <c r="A20" s="67"/>
      <c r="B20" s="174">
        <v>12</v>
      </c>
      <c r="C20" s="175" t="str">
        <f t="shared" si="0"/>
        <v>Karen Williams</v>
      </c>
      <c r="D20" s="172">
        <f t="shared" si="1"/>
        <v>0.03612268518518518</v>
      </c>
      <c r="E20" s="173">
        <f t="shared" si="2"/>
        <v>60.40735441695403</v>
      </c>
      <c r="F20" s="171">
        <f t="shared" si="3"/>
        <v>35</v>
      </c>
      <c r="G20" s="176">
        <f t="shared" si="5"/>
        <v>14</v>
      </c>
      <c r="H20" s="67"/>
      <c r="I20" s="133"/>
      <c r="J20" s="133"/>
      <c r="K20" s="133"/>
      <c r="L20" s="133"/>
      <c r="M20" s="133"/>
      <c r="N20" s="133"/>
      <c r="O20" s="133"/>
      <c r="P20" s="133"/>
      <c r="Q20" s="67"/>
      <c r="BA20" s="409"/>
      <c r="BB20" s="410"/>
      <c r="BC20" s="73">
        <v>15</v>
      </c>
      <c r="BD20" s="114" t="s">
        <v>34</v>
      </c>
      <c r="BF20" s="73" t="s">
        <v>12</v>
      </c>
      <c r="BG20" s="73" t="str">
        <f t="shared" si="6"/>
        <v>Female12</v>
      </c>
      <c r="BH20" s="73">
        <v>12</v>
      </c>
      <c r="BI20" s="73" t="str">
        <f>VLOOKUP(CONCATENATE("In",$B20),'League Races Female'!$BM$7:$BR$85,5,FALSE)</f>
        <v>Karen Williams</v>
      </c>
      <c r="BJ20" s="111">
        <f>VLOOKUP(CONCATENATE("In",$B20),'League Races Female'!$BM$7:$BR$85,3,FALSE)</f>
        <v>0.03612268518518518</v>
      </c>
      <c r="BK20" s="112">
        <f>VLOOKUP(CONCATENATE("In",$B20),'League Races Female'!$BM$7:$BR$85,4,FALSE)</f>
        <v>60.40735441695403</v>
      </c>
      <c r="BL20" s="112">
        <f>VLOOKUP(CONCATENATE("In",$B20),'League Races Female'!$BM$7:$BR$85,6,FALSE)</f>
        <v>35</v>
      </c>
      <c r="BM20" s="112"/>
      <c r="BN20" s="112"/>
      <c r="BV20" s="73" t="b">
        <f t="shared" si="7"/>
        <v>0</v>
      </c>
      <c r="BW20" s="73">
        <f t="shared" si="4"/>
        <v>60.40735441695403</v>
      </c>
      <c r="BX20" s="73">
        <f t="shared" si="8"/>
        <v>14</v>
      </c>
    </row>
    <row r="21" spans="1:76" ht="15.75" thickBot="1">
      <c r="A21" s="67"/>
      <c r="B21" s="174">
        <v>13</v>
      </c>
      <c r="C21" s="175" t="str">
        <f t="shared" si="0"/>
        <v>Carys Prytherch</v>
      </c>
      <c r="D21" s="172">
        <f t="shared" si="1"/>
        <v>0.03622685185185185</v>
      </c>
      <c r="E21" s="173">
        <f t="shared" si="2"/>
        <v>61.87366872607599</v>
      </c>
      <c r="F21" s="171">
        <f t="shared" si="3"/>
        <v>39</v>
      </c>
      <c r="G21" s="176">
        <f t="shared" si="5"/>
        <v>12</v>
      </c>
      <c r="H21" s="67"/>
      <c r="I21" s="133"/>
      <c r="J21" s="133"/>
      <c r="K21" s="133"/>
      <c r="L21" s="133"/>
      <c r="M21" s="133"/>
      <c r="N21" s="133"/>
      <c r="O21" s="133"/>
      <c r="P21" s="133"/>
      <c r="Q21" s="67"/>
      <c r="BA21" s="409"/>
      <c r="BB21" s="410"/>
      <c r="BC21" s="73">
        <v>16</v>
      </c>
      <c r="BD21" s="115" t="s">
        <v>35</v>
      </c>
      <c r="BF21" s="73" t="s">
        <v>12</v>
      </c>
      <c r="BG21" s="73" t="str">
        <f t="shared" si="6"/>
        <v>Female13</v>
      </c>
      <c r="BH21" s="73">
        <v>13</v>
      </c>
      <c r="BI21" s="73" t="str">
        <f>VLOOKUP(CONCATENATE("In",$B21),'League Races Female'!$BM$7:$BR$85,5,FALSE)</f>
        <v>Carys Prytherch</v>
      </c>
      <c r="BJ21" s="111">
        <f>VLOOKUP(CONCATENATE("In",$B21),'League Races Female'!$BM$7:$BR$85,3,FALSE)</f>
        <v>0.03622685185185185</v>
      </c>
      <c r="BK21" s="112">
        <f>VLOOKUP(CONCATENATE("In",$B21),'League Races Female'!$BM$7:$BR$85,4,FALSE)</f>
        <v>61.87366872607599</v>
      </c>
      <c r="BL21" s="112">
        <f>VLOOKUP(CONCATENATE("In",$B21),'League Races Female'!$BM$7:$BR$85,6,FALSE)</f>
        <v>39</v>
      </c>
      <c r="BM21" s="112"/>
      <c r="BN21" s="112"/>
      <c r="BV21" s="73" t="b">
        <f t="shared" si="7"/>
        <v>0</v>
      </c>
      <c r="BW21" s="73">
        <f t="shared" si="4"/>
        <v>61.87366872607599</v>
      </c>
      <c r="BX21" s="73">
        <f t="shared" si="8"/>
        <v>12</v>
      </c>
    </row>
    <row r="22" spans="1:76" ht="15.75" thickBot="1">
      <c r="A22" s="67"/>
      <c r="B22" s="174">
        <v>14</v>
      </c>
      <c r="C22" s="175" t="str">
        <f t="shared" si="0"/>
        <v>Rhian Breese</v>
      </c>
      <c r="D22" s="172">
        <f t="shared" si="1"/>
        <v>0.038252314814814815</v>
      </c>
      <c r="E22" s="173">
        <f t="shared" si="2"/>
        <v>55.31013615733736</v>
      </c>
      <c r="F22" s="171">
        <f t="shared" si="3"/>
        <v>30</v>
      </c>
      <c r="G22" s="176">
        <f t="shared" si="5"/>
        <v>17</v>
      </c>
      <c r="H22" s="67"/>
      <c r="I22" s="133"/>
      <c r="J22" s="133"/>
      <c r="K22" s="133"/>
      <c r="L22" s="133"/>
      <c r="M22" s="133"/>
      <c r="N22" s="133"/>
      <c r="O22" s="133"/>
      <c r="P22" s="133"/>
      <c r="Q22" s="67"/>
      <c r="BA22" s="411"/>
      <c r="BB22" s="412"/>
      <c r="BC22" s="116"/>
      <c r="BD22" s="117" t="str">
        <f>VLOOKUP(BD5,BC6:BD21,2,FALSE)</f>
        <v>Aberystwyth 10k</v>
      </c>
      <c r="BG22" s="73" t="str">
        <f t="shared" si="6"/>
        <v>Female14</v>
      </c>
      <c r="BH22" s="73">
        <v>14</v>
      </c>
      <c r="BI22" s="73" t="str">
        <f>VLOOKUP(CONCATENATE("In",$B22),'League Races Female'!$BM$7:$BR$85,5,FALSE)</f>
        <v>Rhian Breese</v>
      </c>
      <c r="BJ22" s="111">
        <f>VLOOKUP(CONCATENATE("In",$B22),'League Races Female'!$BM$7:$BR$85,3,FALSE)</f>
        <v>0.038252314814814815</v>
      </c>
      <c r="BK22" s="112">
        <f>VLOOKUP(CONCATENATE("In",$B22),'League Races Female'!$BM$7:$BR$85,4,FALSE)</f>
        <v>55.31013615733736</v>
      </c>
      <c r="BL22" s="112">
        <f>VLOOKUP(CONCATENATE("In",$B22),'League Races Female'!$BM$7:$BR$85,6,FALSE)</f>
        <v>30</v>
      </c>
      <c r="BM22" s="112"/>
      <c r="BN22" s="112"/>
      <c r="BV22" s="73" t="b">
        <f t="shared" si="7"/>
        <v>0</v>
      </c>
      <c r="BW22" s="73">
        <f t="shared" si="4"/>
        <v>55.31013615733736</v>
      </c>
      <c r="BX22" s="73">
        <f t="shared" si="8"/>
        <v>17</v>
      </c>
    </row>
    <row r="23" spans="1:76" ht="15.75" thickBot="1">
      <c r="A23" s="67"/>
      <c r="B23" s="174">
        <v>15</v>
      </c>
      <c r="C23" s="175" t="str">
        <f t="shared" si="0"/>
        <v>Helen Stretch</v>
      </c>
      <c r="D23" s="172">
        <f t="shared" si="1"/>
        <v>0.03988425925925926</v>
      </c>
      <c r="E23" s="173">
        <f t="shared" si="2"/>
        <v>64.02777432381171</v>
      </c>
      <c r="F23" s="171">
        <f t="shared" si="3"/>
        <v>55</v>
      </c>
      <c r="G23" s="176">
        <f t="shared" si="5"/>
        <v>11</v>
      </c>
      <c r="H23" s="67"/>
      <c r="I23" s="133"/>
      <c r="J23" s="133"/>
      <c r="K23" s="133"/>
      <c r="L23" s="133"/>
      <c r="M23" s="133"/>
      <c r="N23" s="133"/>
      <c r="O23" s="133"/>
      <c r="P23" s="133"/>
      <c r="Q23" s="67"/>
      <c r="BA23" s="399" t="s">
        <v>118</v>
      </c>
      <c r="BB23" s="400"/>
      <c r="BC23" s="109"/>
      <c r="BD23" s="199">
        <v>2</v>
      </c>
      <c r="BG23" s="73" t="str">
        <f t="shared" si="6"/>
        <v>Female15</v>
      </c>
      <c r="BH23" s="73">
        <v>15</v>
      </c>
      <c r="BI23" s="73" t="str">
        <f>VLOOKUP(CONCATENATE("In",$B23),'League Races Female'!$BM$7:$BR$85,5,FALSE)</f>
        <v>Helen Stretch</v>
      </c>
      <c r="BJ23" s="111">
        <f>VLOOKUP(CONCATENATE("In",$B23),'League Races Female'!$BM$7:$BR$85,3,FALSE)</f>
        <v>0.03988425925925926</v>
      </c>
      <c r="BK23" s="112">
        <f>VLOOKUP(CONCATENATE("In",$B23),'League Races Female'!$BM$7:$BR$85,4,FALSE)</f>
        <v>64.02777432381171</v>
      </c>
      <c r="BL23" s="112">
        <f>VLOOKUP(CONCATENATE("In",$B23),'League Races Female'!$BM$7:$BR$85,6,FALSE)</f>
        <v>55</v>
      </c>
      <c r="BM23" s="112"/>
      <c r="BN23" s="112"/>
      <c r="BV23" s="73" t="b">
        <f t="shared" si="7"/>
        <v>0</v>
      </c>
      <c r="BW23" s="73">
        <f t="shared" si="4"/>
        <v>64.02777432381171</v>
      </c>
      <c r="BX23" s="73">
        <f t="shared" si="8"/>
        <v>11</v>
      </c>
    </row>
    <row r="24" spans="1:76" ht="17.25" customHeight="1" thickBot="1">
      <c r="A24" s="67"/>
      <c r="B24" s="174">
        <v>16</v>
      </c>
      <c r="C24" s="175" t="str">
        <f t="shared" si="0"/>
        <v>Megan Williams</v>
      </c>
      <c r="D24" s="172">
        <f t="shared" si="1"/>
        <v>0.040625</v>
      </c>
      <c r="E24" s="173">
        <f t="shared" si="2"/>
        <v>56.357290422867734</v>
      </c>
      <c r="F24" s="171">
        <f t="shared" si="3"/>
        <v>42</v>
      </c>
      <c r="G24" s="176">
        <f t="shared" si="5"/>
        <v>16</v>
      </c>
      <c r="H24" s="67"/>
      <c r="I24" s="133"/>
      <c r="J24" s="133" t="s">
        <v>125</v>
      </c>
      <c r="K24" s="133"/>
      <c r="L24" s="133"/>
      <c r="M24" s="133"/>
      <c r="N24" s="133"/>
      <c r="O24" s="133"/>
      <c r="P24" s="133"/>
      <c r="Q24" s="67"/>
      <c r="BA24" s="401"/>
      <c r="BB24" s="402"/>
      <c r="BC24" s="75">
        <v>1</v>
      </c>
      <c r="BD24" s="114" t="s">
        <v>5</v>
      </c>
      <c r="BG24" s="73" t="str">
        <f t="shared" si="6"/>
        <v>Female16</v>
      </c>
      <c r="BH24" s="73">
        <v>16</v>
      </c>
      <c r="BI24" s="73" t="str">
        <f>VLOOKUP(CONCATENATE("In",$B24),'League Races Female'!$BM$7:$BR$85,5,FALSE)</f>
        <v>Megan Williams</v>
      </c>
      <c r="BJ24" s="111">
        <f>VLOOKUP(CONCATENATE("In",$B24),'League Races Female'!$BM$7:$BR$85,3,FALSE)</f>
        <v>0.040625</v>
      </c>
      <c r="BK24" s="112">
        <f>VLOOKUP(CONCATENATE("In",$B24),'League Races Female'!$BM$7:$BR$85,4,FALSE)</f>
        <v>56.357290422867734</v>
      </c>
      <c r="BL24" s="112">
        <f>VLOOKUP(CONCATENATE("In",$B24),'League Races Female'!$BM$7:$BR$85,6,FALSE)</f>
        <v>42</v>
      </c>
      <c r="BM24" s="112"/>
      <c r="BN24" s="112"/>
      <c r="BV24" s="73" t="b">
        <f t="shared" si="7"/>
        <v>0</v>
      </c>
      <c r="BW24" s="73">
        <f t="shared" si="4"/>
        <v>56.357290422867734</v>
      </c>
      <c r="BX24" s="73">
        <f t="shared" si="8"/>
        <v>16</v>
      </c>
    </row>
    <row r="25" spans="1:76" ht="17.25" customHeight="1" thickBot="1">
      <c r="A25" s="67"/>
      <c r="B25" s="174">
        <v>17</v>
      </c>
      <c r="C25" s="175" t="str">
        <f t="shared" si="0"/>
        <v>Rosemary Reese</v>
      </c>
      <c r="D25" s="172">
        <f t="shared" si="1"/>
        <v>0.041527777777777775</v>
      </c>
      <c r="E25" s="173">
        <f t="shared" si="2"/>
        <v>60.29302144558126</v>
      </c>
      <c r="F25" s="171">
        <f t="shared" si="3"/>
        <v>53</v>
      </c>
      <c r="G25" s="176">
        <f t="shared" si="5"/>
        <v>15</v>
      </c>
      <c r="H25" s="67"/>
      <c r="I25" s="133"/>
      <c r="J25" s="163" t="s">
        <v>109</v>
      </c>
      <c r="K25" s="163"/>
      <c r="L25" s="132" t="s">
        <v>37</v>
      </c>
      <c r="M25" s="133"/>
      <c r="N25" s="421" t="s">
        <v>132</v>
      </c>
      <c r="O25" s="422"/>
      <c r="P25" s="133"/>
      <c r="Q25" s="67"/>
      <c r="BA25" s="401"/>
      <c r="BB25" s="402"/>
      <c r="BC25" s="75">
        <v>2</v>
      </c>
      <c r="BD25" s="114" t="s">
        <v>55</v>
      </c>
      <c r="BG25" s="73" t="str">
        <f t="shared" si="6"/>
        <v>Female17</v>
      </c>
      <c r="BH25" s="73">
        <v>17</v>
      </c>
      <c r="BI25" s="73" t="str">
        <f>VLOOKUP(CONCATENATE("In",$B25),'League Races Female'!$BM$7:$BR$85,5,FALSE)</f>
        <v>Rosemary Reese</v>
      </c>
      <c r="BJ25" s="111">
        <f>VLOOKUP(CONCATENATE("In",$B25),'League Races Female'!$BM$7:$BR$85,3,FALSE)</f>
        <v>0.041527777777777775</v>
      </c>
      <c r="BK25" s="112">
        <f>VLOOKUP(CONCATENATE("In",$B25),'League Races Female'!$BM$7:$BR$85,4,FALSE)</f>
        <v>60.29302144558126</v>
      </c>
      <c r="BL25" s="112">
        <f>VLOOKUP(CONCATENATE("In",$B25),'League Races Female'!$BM$7:$BR$85,6,FALSE)</f>
        <v>53</v>
      </c>
      <c r="BM25" s="112"/>
      <c r="BN25" s="112"/>
      <c r="BV25" s="73" t="b">
        <f t="shared" si="7"/>
        <v>0</v>
      </c>
      <c r="BW25" s="73">
        <f t="shared" si="4"/>
        <v>60.29302144558126</v>
      </c>
      <c r="BX25" s="73">
        <f t="shared" si="8"/>
        <v>15</v>
      </c>
    </row>
    <row r="26" spans="1:76" ht="17.25" thickBot="1">
      <c r="A26" s="67"/>
      <c r="B26" s="174">
        <v>18</v>
      </c>
      <c r="C26" s="175" t="str">
        <f t="shared" si="0"/>
        <v>Sarah Birch</v>
      </c>
      <c r="D26" s="172">
        <f t="shared" si="1"/>
        <v>0.044826388888888895</v>
      </c>
      <c r="E26" s="173">
        <f t="shared" si="2"/>
        <v>47.1985540924348</v>
      </c>
      <c r="F26" s="171">
        <f t="shared" si="3"/>
        <v>30</v>
      </c>
      <c r="G26" s="176">
        <f t="shared" si="5"/>
        <v>20</v>
      </c>
      <c r="H26" s="67"/>
      <c r="I26" s="133"/>
      <c r="J26" s="100" t="s">
        <v>126</v>
      </c>
      <c r="K26" s="214">
        <v>55</v>
      </c>
      <c r="L26" s="134"/>
      <c r="M26" s="133"/>
      <c r="N26" s="423"/>
      <c r="O26" s="424"/>
      <c r="P26" s="133"/>
      <c r="Q26" s="67"/>
      <c r="BA26" s="403"/>
      <c r="BB26" s="404"/>
      <c r="BC26" s="118"/>
      <c r="BD26" s="119" t="str">
        <f>VLOOKUP(BD23,BC24:BD25,2,FALSE)</f>
        <v>Female</v>
      </c>
      <c r="BG26" s="73" t="str">
        <f t="shared" si="6"/>
        <v>Female18</v>
      </c>
      <c r="BH26" s="73">
        <v>18</v>
      </c>
      <c r="BI26" s="73" t="str">
        <f>VLOOKUP(CONCATENATE("In",$B26),'League Races Female'!$BM$7:$BR$85,5,FALSE)</f>
        <v>Sarah Birch</v>
      </c>
      <c r="BJ26" s="111">
        <f>VLOOKUP(CONCATENATE("In",$B26),'League Races Female'!$BM$7:$BR$85,3,FALSE)</f>
        <v>0.044826388888888895</v>
      </c>
      <c r="BK26" s="112">
        <f>VLOOKUP(CONCATENATE("In",$B26),'League Races Female'!$BM$7:$BR$85,4,FALSE)</f>
        <v>47.1985540924348</v>
      </c>
      <c r="BL26" s="112">
        <f>VLOOKUP(CONCATENATE("In",$B26),'League Races Female'!$BM$7:$BR$85,6,FALSE)</f>
        <v>30</v>
      </c>
      <c r="BM26" s="112"/>
      <c r="BN26" s="112"/>
      <c r="BV26" s="73" t="b">
        <f t="shared" si="7"/>
        <v>0</v>
      </c>
      <c r="BW26" s="73">
        <f t="shared" si="4"/>
        <v>47.1985540924348</v>
      </c>
      <c r="BX26" s="73">
        <f t="shared" si="8"/>
        <v>20</v>
      </c>
    </row>
    <row r="27" spans="1:76" ht="17.25" customHeight="1" thickBot="1">
      <c r="A27" s="67"/>
      <c r="B27" s="174">
        <v>19</v>
      </c>
      <c r="C27" s="175" t="str">
        <f t="shared" si="0"/>
        <v>Beth Holland</v>
      </c>
      <c r="D27" s="172">
        <f t="shared" si="1"/>
        <v>0.0453587962962963</v>
      </c>
      <c r="E27" s="173">
        <f t="shared" si="2"/>
        <v>52.819105629802955</v>
      </c>
      <c r="F27" s="171">
        <f t="shared" si="3"/>
        <v>48</v>
      </c>
      <c r="G27" s="176">
        <f t="shared" si="5"/>
        <v>18</v>
      </c>
      <c r="H27" s="67"/>
      <c r="I27" s="133"/>
      <c r="J27" s="100" t="s">
        <v>127</v>
      </c>
      <c r="K27" s="215">
        <v>0.03194444444444445</v>
      </c>
      <c r="L27" s="98">
        <f>BR9/K27*100</f>
        <v>79.94192402893302</v>
      </c>
      <c r="M27" s="133"/>
      <c r="N27" s="423"/>
      <c r="O27" s="424"/>
      <c r="P27" s="133"/>
      <c r="Q27" s="67"/>
      <c r="BA27" s="405" t="s">
        <v>119</v>
      </c>
      <c r="BB27" s="406"/>
      <c r="BC27" s="120"/>
      <c r="BD27" s="121" t="str">
        <f>CONCATENATE("League Races ",BD26)</f>
        <v>League Races Female</v>
      </c>
      <c r="BG27" s="73" t="str">
        <f t="shared" si="6"/>
        <v>Female19</v>
      </c>
      <c r="BH27" s="73">
        <v>19</v>
      </c>
      <c r="BI27" s="73" t="str">
        <f>VLOOKUP(CONCATENATE("In",$B27),'League Races Female'!$BM$7:$BR$85,5,FALSE)</f>
        <v>Beth Holland</v>
      </c>
      <c r="BJ27" s="111">
        <f>VLOOKUP(CONCATENATE("In",$B27),'League Races Female'!$BM$7:$BR$85,3,FALSE)</f>
        <v>0.0453587962962963</v>
      </c>
      <c r="BK27" s="112">
        <f>VLOOKUP(CONCATENATE("In",$B27),'League Races Female'!$BM$7:$BR$85,4,FALSE)</f>
        <v>52.819105629802955</v>
      </c>
      <c r="BL27" s="112">
        <f>VLOOKUP(CONCATENATE("In",$B27),'League Races Female'!$BM$7:$BR$85,6,FALSE)</f>
        <v>48</v>
      </c>
      <c r="BM27" s="112"/>
      <c r="BN27" s="112"/>
      <c r="BV27" s="73" t="b">
        <f t="shared" si="7"/>
        <v>0</v>
      </c>
      <c r="BW27" s="73">
        <f t="shared" si="4"/>
        <v>52.819105629802955</v>
      </c>
      <c r="BX27" s="73">
        <f t="shared" si="8"/>
        <v>18</v>
      </c>
    </row>
    <row r="28" spans="1:76" ht="17.25" customHeight="1" thickBot="1">
      <c r="A28" s="67"/>
      <c r="B28" s="174">
        <v>20</v>
      </c>
      <c r="C28" s="175" t="str">
        <f t="shared" si="0"/>
        <v>Sue Ginley</v>
      </c>
      <c r="D28" s="172">
        <f t="shared" si="1"/>
        <v>0.04577546296296297</v>
      </c>
      <c r="E28" s="173">
        <f t="shared" si="2"/>
        <v>51.14526360025443</v>
      </c>
      <c r="F28" s="171">
        <f t="shared" si="3"/>
        <v>45</v>
      </c>
      <c r="G28" s="176">
        <f t="shared" si="5"/>
        <v>19</v>
      </c>
      <c r="H28" s="67"/>
      <c r="I28" s="133"/>
      <c r="J28" s="135" t="s">
        <v>128</v>
      </c>
      <c r="K28" s="214">
        <v>61</v>
      </c>
      <c r="L28" s="134"/>
      <c r="M28" s="133"/>
      <c r="N28" s="425">
        <f>(BR9/L29)*100</f>
        <v>0.026142359015623957</v>
      </c>
      <c r="O28" s="426"/>
      <c r="P28" s="133"/>
      <c r="Q28" s="67"/>
      <c r="BG28" s="73" t="str">
        <f t="shared" si="6"/>
        <v>Female20</v>
      </c>
      <c r="BH28" s="73">
        <v>20</v>
      </c>
      <c r="BI28" s="73" t="str">
        <f>VLOOKUP(CONCATENATE("In",$B28),'League Races Female'!$BM$7:$BR$85,5,FALSE)</f>
        <v>Sue Ginley</v>
      </c>
      <c r="BJ28" s="111">
        <f>VLOOKUP(CONCATENATE("In",$B28),'League Races Female'!$BM$7:$BR$85,3,FALSE)</f>
        <v>0.04577546296296297</v>
      </c>
      <c r="BK28" s="112">
        <f>VLOOKUP(CONCATENATE("In",$B28),'League Races Female'!$BM$7:$BR$85,4,FALSE)</f>
        <v>51.14526360025443</v>
      </c>
      <c r="BL28" s="112">
        <f>VLOOKUP(CONCATENATE("In",$B28),'League Races Female'!$BM$7:$BR$85,6,FALSE)</f>
        <v>45</v>
      </c>
      <c r="BM28" s="112"/>
      <c r="BN28" s="112"/>
      <c r="BV28" s="73" t="b">
        <f t="shared" si="7"/>
        <v>0</v>
      </c>
      <c r="BW28" s="73">
        <f t="shared" si="4"/>
        <v>51.14526360025443</v>
      </c>
      <c r="BX28" s="73">
        <f t="shared" si="8"/>
        <v>19</v>
      </c>
    </row>
    <row r="29" spans="1:76" ht="15.75" customHeight="1" thickBot="1">
      <c r="A29" s="67"/>
      <c r="B29" s="174">
        <v>21</v>
      </c>
      <c r="C29" s="175" t="e">
        <f t="shared" si="0"/>
        <v>#N/A</v>
      </c>
      <c r="D29" s="172" t="e">
        <f t="shared" si="1"/>
        <v>#N/A</v>
      </c>
      <c r="E29" s="173" t="e">
        <f t="shared" si="2"/>
        <v>#N/A</v>
      </c>
      <c r="F29" s="171" t="e">
        <f t="shared" si="3"/>
        <v>#N/A</v>
      </c>
      <c r="G29" s="176">
        <f t="shared" si="5"/>
      </c>
      <c r="H29" s="67"/>
      <c r="I29" s="133"/>
      <c r="J29" s="135" t="s">
        <v>129</v>
      </c>
      <c r="K29" s="215">
        <v>0.027939814814814817</v>
      </c>
      <c r="L29" s="98">
        <f>BR11/K29*100</f>
        <v>97.68438836747796</v>
      </c>
      <c r="M29" s="133"/>
      <c r="N29" s="427"/>
      <c r="O29" s="428"/>
      <c r="P29" s="133"/>
      <c r="Q29" s="67"/>
      <c r="BD29" s="73">
        <f>IF(BD26=BD24,BQ60,IF(BD26=BD25,BQ33,0))</f>
        <v>20</v>
      </c>
      <c r="BG29" s="73" t="str">
        <f t="shared" si="6"/>
        <v>Female21</v>
      </c>
      <c r="BH29" s="73">
        <v>21</v>
      </c>
      <c r="BI29" s="73" t="e">
        <f>VLOOKUP(CONCATENATE("In",$B29),'League Races Female'!$BM$7:$BR$85,5,FALSE)</f>
        <v>#N/A</v>
      </c>
      <c r="BJ29" s="111" t="e">
        <f>VLOOKUP(CONCATENATE("In",$B29),'League Races Female'!$BM$7:$BR$85,3,FALSE)</f>
        <v>#N/A</v>
      </c>
      <c r="BK29" s="112" t="e">
        <f>VLOOKUP(CONCATENATE("In",$B29),'League Races Female'!$BM$7:$BR$85,4,FALSE)</f>
        <v>#N/A</v>
      </c>
      <c r="BL29" s="112" t="e">
        <f>VLOOKUP(CONCATENATE("In",$B29),'League Races Female'!$BM$7:$BR$85,6,FALSE)</f>
        <v>#N/A</v>
      </c>
      <c r="BM29" s="112"/>
      <c r="BN29" s="112"/>
      <c r="BV29" s="73" t="b">
        <f t="shared" si="7"/>
        <v>1</v>
      </c>
      <c r="BW29" s="73">
        <f t="shared" si="4"/>
        <v>0</v>
      </c>
      <c r="BX29" s="73">
        <f t="shared" si="8"/>
      </c>
    </row>
    <row r="30" spans="1:76" ht="15.75" thickBot="1">
      <c r="A30" s="67"/>
      <c r="B30" s="174">
        <v>22</v>
      </c>
      <c r="C30" s="175" t="e">
        <f t="shared" si="0"/>
        <v>#N/A</v>
      </c>
      <c r="D30" s="172" t="e">
        <f t="shared" si="1"/>
        <v>#N/A</v>
      </c>
      <c r="E30" s="173" t="e">
        <f t="shared" si="2"/>
        <v>#N/A</v>
      </c>
      <c r="F30" s="171" t="e">
        <f t="shared" si="3"/>
        <v>#N/A</v>
      </c>
      <c r="G30" s="176">
        <f t="shared" si="5"/>
      </c>
      <c r="H30" s="67"/>
      <c r="I30" s="133"/>
      <c r="J30" s="133"/>
      <c r="K30" s="133"/>
      <c r="L30" s="133"/>
      <c r="M30" s="133"/>
      <c r="N30" s="133"/>
      <c r="O30" s="133"/>
      <c r="P30" s="133"/>
      <c r="Q30" s="67"/>
      <c r="BG30" s="73" t="str">
        <f t="shared" si="6"/>
        <v>Female22</v>
      </c>
      <c r="BH30" s="73">
        <v>22</v>
      </c>
      <c r="BI30" s="73" t="e">
        <f>VLOOKUP(CONCATENATE("In",$B30),'League Races Female'!$BM$7:$BR$85,5,FALSE)</f>
        <v>#N/A</v>
      </c>
      <c r="BJ30" s="111" t="e">
        <f>VLOOKUP(CONCATENATE("In",$B30),'League Races Female'!$BM$7:$BR$85,3,FALSE)</f>
        <v>#N/A</v>
      </c>
      <c r="BK30" s="112" t="e">
        <f>VLOOKUP(CONCATENATE("In",$B30),'League Races Female'!$BM$7:$BR$85,4,FALSE)</f>
        <v>#N/A</v>
      </c>
      <c r="BL30" s="112" t="e">
        <f>VLOOKUP(CONCATENATE("In",$B30),'League Races Female'!$BM$7:$BR$85,6,FALSE)</f>
        <v>#N/A</v>
      </c>
      <c r="BM30" s="112"/>
      <c r="BN30" s="112"/>
      <c r="BV30" s="73" t="b">
        <f t="shared" si="7"/>
        <v>1</v>
      </c>
      <c r="BW30" s="73">
        <f t="shared" si="4"/>
        <v>0</v>
      </c>
      <c r="BX30" s="73">
        <f t="shared" si="8"/>
      </c>
    </row>
    <row r="31" spans="1:76" ht="15.75" thickBot="1">
      <c r="A31" s="67"/>
      <c r="B31" s="174">
        <v>23</v>
      </c>
      <c r="C31" s="175" t="e">
        <f t="shared" si="0"/>
        <v>#N/A</v>
      </c>
      <c r="D31" s="172" t="e">
        <f t="shared" si="1"/>
        <v>#N/A</v>
      </c>
      <c r="E31" s="173" t="e">
        <f t="shared" si="2"/>
        <v>#N/A</v>
      </c>
      <c r="F31" s="171" t="e">
        <f t="shared" si="3"/>
        <v>#N/A</v>
      </c>
      <c r="G31" s="176">
        <f t="shared" si="5"/>
      </c>
      <c r="H31" s="67"/>
      <c r="I31" s="133"/>
      <c r="J31" s="133"/>
      <c r="K31" s="133"/>
      <c r="L31" s="133"/>
      <c r="M31" s="133"/>
      <c r="N31" s="133"/>
      <c r="O31" s="133"/>
      <c r="P31" s="133"/>
      <c r="Q31" s="67"/>
      <c r="BG31" s="73" t="str">
        <f t="shared" si="6"/>
        <v>Female23</v>
      </c>
      <c r="BH31" s="73">
        <v>23</v>
      </c>
      <c r="BI31" s="73" t="e">
        <f>VLOOKUP(CONCATENATE("In",$B31),'League Races Female'!$BM$7:$BR$85,5,FALSE)</f>
        <v>#N/A</v>
      </c>
      <c r="BJ31" s="111" t="e">
        <f>VLOOKUP(CONCATENATE("In",$B31),'League Races Female'!$BM$7:$BR$85,3,FALSE)</f>
        <v>#N/A</v>
      </c>
      <c r="BK31" s="112" t="e">
        <f>VLOOKUP(CONCATENATE("In",$B31),'League Races Female'!$BM$7:$BR$85,4,FALSE)</f>
        <v>#N/A</v>
      </c>
      <c r="BL31" s="112" t="e">
        <f>VLOOKUP(CONCATENATE("In",$B31),'League Races Female'!$BM$7:$BR$85,6,FALSE)</f>
        <v>#N/A</v>
      </c>
      <c r="BM31" s="112"/>
      <c r="BN31" s="112"/>
      <c r="BV31" s="73" t="b">
        <f t="shared" si="7"/>
        <v>1</v>
      </c>
      <c r="BW31" s="73">
        <f t="shared" si="4"/>
        <v>0</v>
      </c>
      <c r="BX31" s="73">
        <f t="shared" si="8"/>
      </c>
    </row>
    <row r="32" spans="1:76" ht="15.75" thickBot="1">
      <c r="A32" s="67"/>
      <c r="B32" s="174">
        <v>24</v>
      </c>
      <c r="C32" s="175" t="e">
        <f t="shared" si="0"/>
        <v>#N/A</v>
      </c>
      <c r="D32" s="172" t="e">
        <f t="shared" si="1"/>
        <v>#N/A</v>
      </c>
      <c r="E32" s="173" t="e">
        <f t="shared" si="2"/>
        <v>#N/A</v>
      </c>
      <c r="F32" s="171" t="e">
        <f t="shared" si="3"/>
        <v>#N/A</v>
      </c>
      <c r="G32" s="176">
        <f t="shared" si="5"/>
      </c>
      <c r="H32" s="67"/>
      <c r="I32" s="67"/>
      <c r="J32" s="67"/>
      <c r="K32" s="67"/>
      <c r="L32" s="67"/>
      <c r="M32" s="67"/>
      <c r="N32" s="67"/>
      <c r="O32" s="67"/>
      <c r="P32" s="67"/>
      <c r="Q32" s="67"/>
      <c r="BG32" s="73" t="str">
        <f t="shared" si="6"/>
        <v>Female24</v>
      </c>
      <c r="BH32" s="73">
        <v>24</v>
      </c>
      <c r="BI32" s="73" t="e">
        <f>VLOOKUP(CONCATENATE("In",$B32),'League Races Female'!$BM$7:$BR$85,5,FALSE)</f>
        <v>#N/A</v>
      </c>
      <c r="BJ32" s="111" t="e">
        <f>VLOOKUP(CONCATENATE("In",$B32),'League Races Female'!$BM$7:$BR$85,3,FALSE)</f>
        <v>#N/A</v>
      </c>
      <c r="BK32" s="112" t="e">
        <f>VLOOKUP(CONCATENATE("In",$B32),'League Races Female'!$BM$7:$BR$85,4,FALSE)</f>
        <v>#N/A</v>
      </c>
      <c r="BL32" s="112" t="e">
        <f>VLOOKUP(CONCATENATE("In",$B32),'League Races Female'!$BM$7:$BR$85,6,FALSE)</f>
        <v>#N/A</v>
      </c>
      <c r="BM32" s="112"/>
      <c r="BN32" s="112"/>
      <c r="BV32" s="73" t="b">
        <f t="shared" si="7"/>
        <v>1</v>
      </c>
      <c r="BW32" s="73">
        <f t="shared" si="4"/>
        <v>0</v>
      </c>
      <c r="BX32" s="73">
        <f t="shared" si="8"/>
      </c>
    </row>
    <row r="33" spans="1:76" ht="15.75" thickBot="1">
      <c r="A33" s="67"/>
      <c r="B33" s="170">
        <v>25</v>
      </c>
      <c r="C33" s="177" t="e">
        <f t="shared" si="0"/>
        <v>#N/A</v>
      </c>
      <c r="D33" s="178" t="e">
        <f t="shared" si="1"/>
        <v>#N/A</v>
      </c>
      <c r="E33" s="179" t="e">
        <f t="shared" si="2"/>
        <v>#N/A</v>
      </c>
      <c r="F33" s="180" t="e">
        <f t="shared" si="3"/>
        <v>#N/A</v>
      </c>
      <c r="G33" s="181">
        <f t="shared" si="5"/>
      </c>
      <c r="H33" s="67"/>
      <c r="I33" s="67"/>
      <c r="J33" s="67"/>
      <c r="K33" s="67"/>
      <c r="L33" s="67"/>
      <c r="M33" s="67"/>
      <c r="N33" s="67"/>
      <c r="O33" s="67"/>
      <c r="P33" s="67"/>
      <c r="Q33" s="67"/>
      <c r="BG33" s="73" t="str">
        <f t="shared" si="6"/>
        <v>Female25</v>
      </c>
      <c r="BH33" s="73">
        <v>25</v>
      </c>
      <c r="BI33" s="73" t="e">
        <f>VLOOKUP(CONCATENATE("In",$B33),'League Races Female'!$BM$7:$BR$85,5,FALSE)</f>
        <v>#N/A</v>
      </c>
      <c r="BJ33" s="111" t="e">
        <f>VLOOKUP(CONCATENATE("In",$B33),'League Races Female'!$BM$7:$BR$85,3,FALSE)</f>
        <v>#N/A</v>
      </c>
      <c r="BK33" s="112" t="e">
        <f>VLOOKUP(CONCATENATE("In",$B33),'League Races Female'!$BM$7:$BR$85,4,FALSE)</f>
        <v>#N/A</v>
      </c>
      <c r="BL33" s="112" t="e">
        <f>VLOOKUP(CONCATENATE("In",$B33),'League Races Female'!$BM$7:$BR$85,6,FALSE)</f>
        <v>#N/A</v>
      </c>
      <c r="BM33" s="112"/>
      <c r="BN33" s="112"/>
      <c r="BO33" s="73" t="s">
        <v>55</v>
      </c>
      <c r="BP33" s="73">
        <f>COUNTIF(BL9:BL33,"#N/A")</f>
        <v>5</v>
      </c>
      <c r="BQ33" s="73">
        <f>25-BP33</f>
        <v>20</v>
      </c>
      <c r="BV33" s="73" t="b">
        <f t="shared" si="7"/>
        <v>1</v>
      </c>
      <c r="BW33" s="73">
        <f t="shared" si="4"/>
        <v>0</v>
      </c>
      <c r="BX33" s="73">
        <f t="shared" si="8"/>
      </c>
    </row>
    <row r="34" spans="1:17" ht="15">
      <c r="A34" s="67"/>
      <c r="B34" s="67"/>
      <c r="C34" s="67"/>
      <c r="D34" s="67"/>
      <c r="E34" s="67"/>
      <c r="F34" s="67"/>
      <c r="G34" s="67"/>
      <c r="H34" s="67"/>
      <c r="I34" s="67"/>
      <c r="J34" s="67"/>
      <c r="K34" s="67"/>
      <c r="L34" s="67"/>
      <c r="M34" s="67"/>
      <c r="N34" s="67"/>
      <c r="O34" s="67"/>
      <c r="P34" s="67"/>
      <c r="Q34" s="67"/>
    </row>
    <row r="35" spans="1:64" ht="15.75" thickBot="1">
      <c r="A35" s="67"/>
      <c r="B35" s="67"/>
      <c r="C35" s="67"/>
      <c r="D35" s="67"/>
      <c r="E35" s="67"/>
      <c r="F35" s="67"/>
      <c r="G35" s="67"/>
      <c r="H35" s="67"/>
      <c r="I35" s="67"/>
      <c r="J35" s="67"/>
      <c r="K35" s="67"/>
      <c r="L35" s="67"/>
      <c r="M35" s="67"/>
      <c r="N35" s="67"/>
      <c r="O35" s="67"/>
      <c r="P35" s="67"/>
      <c r="Q35" s="67"/>
      <c r="BE35" s="73" t="s">
        <v>161</v>
      </c>
      <c r="BF35" s="73">
        <f>'League Races Male'!BL6</f>
        <v>18</v>
      </c>
      <c r="BH35" s="73" t="s">
        <v>123</v>
      </c>
      <c r="BI35" s="73" t="s">
        <v>38</v>
      </c>
      <c r="BJ35" s="73" t="s">
        <v>89</v>
      </c>
      <c r="BK35" s="73" t="s">
        <v>37</v>
      </c>
      <c r="BL35" s="73" t="s">
        <v>4</v>
      </c>
    </row>
    <row r="36" spans="1:66" ht="15.75" thickBot="1">
      <c r="A36" s="67"/>
      <c r="B36" s="67"/>
      <c r="C36" s="67"/>
      <c r="D36" s="67"/>
      <c r="E36" s="67"/>
      <c r="F36" s="67"/>
      <c r="G36" s="67"/>
      <c r="H36" s="67"/>
      <c r="I36" s="67"/>
      <c r="J36" s="67"/>
      <c r="K36" s="67"/>
      <c r="L36" s="67"/>
      <c r="M36" s="67"/>
      <c r="N36" s="67"/>
      <c r="O36" s="67"/>
      <c r="P36" s="67"/>
      <c r="Q36" s="67"/>
      <c r="BG36" s="73" t="str">
        <f>CONCATENATE("Male",BH36)</f>
        <v>Male1</v>
      </c>
      <c r="BH36" s="73">
        <v>1</v>
      </c>
      <c r="BI36" s="73" t="str">
        <f>VLOOKUP(CONCATENATE("In",$B9),'League Races Male'!$BM$7:$BR$85,5,FALSE)</f>
        <v>Stephen King</v>
      </c>
      <c r="BJ36" s="111">
        <f>VLOOKUP(CONCATENATE("In",$B9),'League Races Male'!$BM$7:$BR$85,3,FALSE)</f>
        <v>0.026296296296296293</v>
      </c>
      <c r="BK36" s="112">
        <f>VLOOKUP(CONCATENATE("In",$B9),'League Races Male'!$BM$7:$BR$85,4,FALSE)</f>
        <v>73.72437920291975</v>
      </c>
      <c r="BL36" s="112">
        <f>VLOOKUP(CONCATENATE("In",$B9),'League Races Male'!$BM$7:$BR$85,6,FALSE)</f>
        <v>34</v>
      </c>
      <c r="BM36" s="112"/>
      <c r="BN36" s="112"/>
    </row>
    <row r="37" spans="1:66" ht="15.75" thickBot="1">
      <c r="A37" s="67"/>
      <c r="B37" s="67"/>
      <c r="C37" s="67"/>
      <c r="D37" s="67"/>
      <c r="E37" s="67"/>
      <c r="F37" s="67"/>
      <c r="G37" s="67"/>
      <c r="H37" s="67"/>
      <c r="I37" s="67"/>
      <c r="J37" s="67"/>
      <c r="K37" s="67"/>
      <c r="L37" s="67"/>
      <c r="M37" s="67"/>
      <c r="N37" s="67"/>
      <c r="O37" s="67"/>
      <c r="P37" s="67"/>
      <c r="Q37" s="67"/>
      <c r="BG37" s="73" t="str">
        <f aca="true" t="shared" si="9" ref="BG37:BG60">CONCATENATE("Male",BH37)</f>
        <v>Male2</v>
      </c>
      <c r="BH37" s="73">
        <v>2</v>
      </c>
      <c r="BI37" s="73" t="str">
        <f>VLOOKUP(CONCATENATE("In",$B10),'League Races Male'!$BM$7:$BR$85,5,FALSE)</f>
        <v>Paul Scullion</v>
      </c>
      <c r="BJ37" s="111">
        <f>VLOOKUP(CONCATENATE("In",$B10),'League Races Male'!$BM$7:$BR$85,3,FALSE)</f>
        <v>0.02670138888888889</v>
      </c>
      <c r="BK37" s="112">
        <f>VLOOKUP(CONCATENATE("In",$B10),'League Races Male'!$BM$7:$BR$85,4,FALSE)</f>
        <v>77.28453291620447</v>
      </c>
      <c r="BL37" s="112">
        <f>VLOOKUP(CONCATENATE("In",$B10),'League Races Male'!$BM$7:$BR$85,6,FALSE)</f>
        <v>44</v>
      </c>
      <c r="BM37" s="112"/>
      <c r="BN37" s="112"/>
    </row>
    <row r="38" spans="1:66" ht="15.75" thickBot="1">
      <c r="A38" s="67"/>
      <c r="B38" s="67"/>
      <c r="C38" s="67"/>
      <c r="D38" s="67"/>
      <c r="E38" s="67"/>
      <c r="F38" s="67"/>
      <c r="G38" s="67"/>
      <c r="H38" s="67"/>
      <c r="I38" s="67"/>
      <c r="J38" s="67"/>
      <c r="K38" s="67"/>
      <c r="L38" s="67"/>
      <c r="M38" s="67"/>
      <c r="N38" s="67"/>
      <c r="O38" s="67"/>
      <c r="P38" s="67"/>
      <c r="Q38" s="67"/>
      <c r="BG38" s="73" t="str">
        <f t="shared" si="9"/>
        <v>Male3</v>
      </c>
      <c r="BH38" s="73">
        <v>3</v>
      </c>
      <c r="BI38" s="73" t="str">
        <f>VLOOKUP(CONCATENATE("In",$B11),'League Races Male'!$BM$7:$BR$85,5,FALSE)</f>
        <v>Shelley Childs</v>
      </c>
      <c r="BJ38" s="111">
        <f>VLOOKUP(CONCATENATE("In",$B11),'League Races Male'!$BM$7:$BR$85,3,FALSE)</f>
        <v>0.02766203703703704</v>
      </c>
      <c r="BK38" s="112">
        <f>VLOOKUP(CONCATENATE("In",$B11),'League Races Male'!$BM$7:$BR$85,4,FALSE)</f>
        <v>70.08443077365423</v>
      </c>
      <c r="BL38" s="112">
        <f>VLOOKUP(CONCATENATE("In",$B11),'League Races Male'!$BM$7:$BR$85,6,FALSE)</f>
        <v>34</v>
      </c>
      <c r="BM38" s="112"/>
      <c r="BN38" s="112"/>
    </row>
    <row r="39" spans="1:66" ht="15.75" thickBot="1">
      <c r="A39" s="67"/>
      <c r="B39" s="67"/>
      <c r="C39" s="67"/>
      <c r="D39" s="67"/>
      <c r="E39" s="67"/>
      <c r="F39" s="67"/>
      <c r="G39" s="67"/>
      <c r="H39" s="67"/>
      <c r="I39" s="67"/>
      <c r="J39" s="67"/>
      <c r="K39" s="67"/>
      <c r="L39" s="67"/>
      <c r="M39" s="67"/>
      <c r="N39" s="67"/>
      <c r="O39" s="67"/>
      <c r="P39" s="67"/>
      <c r="Q39" s="67"/>
      <c r="BG39" s="73" t="str">
        <f t="shared" si="9"/>
        <v>Male4</v>
      </c>
      <c r="BH39" s="73">
        <v>4</v>
      </c>
      <c r="BI39" s="73" t="str">
        <f>VLOOKUP(CONCATENATE("In",$B12),'League Races Male'!$BM$7:$BR$85,5,FALSE)</f>
        <v>Dave Powell</v>
      </c>
      <c r="BJ39" s="111">
        <f>VLOOKUP(CONCATENATE("In",$B12),'League Races Male'!$BM$7:$BR$85,3,FALSE)</f>
        <v>0.028402777777777777</v>
      </c>
      <c r="BK39" s="112">
        <f>VLOOKUP(CONCATENATE("In",$B12),'League Races Male'!$BM$7:$BR$85,4,FALSE)</f>
        <v>74.14815180978528</v>
      </c>
      <c r="BL39" s="112">
        <f>VLOOKUP(CONCATENATE("In",$B12),'League Races Male'!$BM$7:$BR$85,6,FALSE)</f>
        <v>47</v>
      </c>
      <c r="BM39" s="112"/>
      <c r="BN39" s="112"/>
    </row>
    <row r="40" spans="1:66" ht="15.75" thickBot="1">
      <c r="A40" s="67"/>
      <c r="B40" s="67"/>
      <c r="C40" s="67"/>
      <c r="D40" s="67"/>
      <c r="E40" s="67"/>
      <c r="F40" s="67"/>
      <c r="G40" s="67"/>
      <c r="H40" s="67"/>
      <c r="I40" s="67"/>
      <c r="J40" s="67"/>
      <c r="K40" s="67"/>
      <c r="L40" s="67"/>
      <c r="M40" s="67"/>
      <c r="N40" s="67"/>
      <c r="O40" s="67"/>
      <c r="P40" s="67"/>
      <c r="Q40" s="67"/>
      <c r="BG40" s="73" t="str">
        <f t="shared" si="9"/>
        <v>Male5</v>
      </c>
      <c r="BH40" s="73">
        <v>5</v>
      </c>
      <c r="BI40" s="73" t="str">
        <f>VLOOKUP(CONCATENATE("In",$B13),'League Races Male'!$BM$7:$BR$85,5,FALSE)</f>
        <v>Gethin Holland</v>
      </c>
      <c r="BJ40" s="111">
        <f>VLOOKUP(CONCATENATE("In",$B13),'League Races Male'!$BM$7:$BR$85,3,FALSE)</f>
        <v>0.028854166666666667</v>
      </c>
      <c r="BK40" s="112">
        <f>VLOOKUP(CONCATENATE("In",$B13),'League Races Male'!$BM$7:$BR$85,4,FALSE)</f>
        <v>65.70397111913357</v>
      </c>
      <c r="BL40" s="112">
        <f>VLOOKUP(CONCATENATE("In",$B13),'League Races Male'!$BM$7:$BR$85,6,FALSE)</f>
        <v>30</v>
      </c>
      <c r="BM40" s="112"/>
      <c r="BN40" s="112"/>
    </row>
    <row r="41" spans="1:66" ht="15.75" thickBot="1">
      <c r="A41" s="67"/>
      <c r="B41" s="67"/>
      <c r="C41" s="67"/>
      <c r="D41" s="67"/>
      <c r="E41" s="67"/>
      <c r="F41" s="67"/>
      <c r="G41" s="67"/>
      <c r="H41" s="67"/>
      <c r="I41" s="67"/>
      <c r="J41" s="67"/>
      <c r="K41" s="67"/>
      <c r="L41" s="67"/>
      <c r="M41" s="67"/>
      <c r="N41" s="67"/>
      <c r="O41" s="67"/>
      <c r="P41" s="67"/>
      <c r="Q41" s="67"/>
      <c r="BG41" s="73" t="str">
        <f t="shared" si="9"/>
        <v>Male6</v>
      </c>
      <c r="BH41" s="73">
        <v>6</v>
      </c>
      <c r="BI41" s="73" t="str">
        <f>VLOOKUP(CONCATENATE("In",$B14),'League Races Male'!$BM$7:$BR$85,5,FALSE)</f>
        <v>Clive Evans</v>
      </c>
      <c r="BJ41" s="111">
        <f>VLOOKUP(CONCATENATE("In",$B14),'League Races Male'!$BM$7:$BR$85,3,FALSE)</f>
        <v>0.029317129629629634</v>
      </c>
      <c r="BK41" s="112">
        <f>VLOOKUP(CONCATENATE("In",$B14),'League Races Male'!$BM$7:$BR$85,4,FALSE)</f>
        <v>80.45086274463962</v>
      </c>
      <c r="BL41" s="112">
        <f>VLOOKUP(CONCATENATE("In",$B14),'League Races Male'!$BM$7:$BR$85,6,FALSE)</f>
        <v>60</v>
      </c>
      <c r="BM41" s="112"/>
      <c r="BN41" s="112"/>
    </row>
    <row r="42" spans="59:66" ht="15.75" thickBot="1">
      <c r="BG42" s="73" t="str">
        <f t="shared" si="9"/>
        <v>Male7</v>
      </c>
      <c r="BH42" s="73">
        <v>7</v>
      </c>
      <c r="BI42" s="73" t="str">
        <f>VLOOKUP(CONCATENATE("In",$B15),'League Races Male'!$BM$7:$BR$85,5,FALSE)</f>
        <v>Daniel Burgess</v>
      </c>
      <c r="BJ42" s="111">
        <f>VLOOKUP(CONCATENATE("In",$B15),'League Races Male'!$BM$7:$BR$85,3,FALSE)</f>
        <v>0.029479166666666667</v>
      </c>
      <c r="BK42" s="112">
        <f>VLOOKUP(CONCATENATE("In",$B15),'League Races Male'!$BM$7:$BR$85,4,FALSE)</f>
        <v>64.66662047622347</v>
      </c>
      <c r="BL42" s="112">
        <f>VLOOKUP(CONCATENATE("In",$B15),'League Races Male'!$BM$7:$BR$85,6,FALSE)</f>
        <v>31</v>
      </c>
      <c r="BM42" s="112"/>
      <c r="BN42" s="112"/>
    </row>
    <row r="43" spans="59:66" ht="15.75" thickBot="1">
      <c r="BG43" s="73" t="str">
        <f t="shared" si="9"/>
        <v>Male8</v>
      </c>
      <c r="BH43" s="73">
        <v>8</v>
      </c>
      <c r="BI43" s="73" t="str">
        <f>VLOOKUP(CONCATENATE("In",$B16),'League Races Male'!$BM$7:$BR$85,5,FALSE)</f>
        <v>John Evans</v>
      </c>
      <c r="BJ43" s="111">
        <f>VLOOKUP(CONCATENATE("In",$B16),'League Races Male'!$BM$7:$BR$85,3,FALSE)</f>
        <v>0.029629629629629627</v>
      </c>
      <c r="BK43" s="112">
        <f>VLOOKUP(CONCATENATE("In",$B16),'League Races Male'!$BM$7:$BR$85,4,FALSE)</f>
        <v>80.42279411764707</v>
      </c>
      <c r="BL43" s="112">
        <f>VLOOKUP(CONCATENATE("In",$B16),'League Races Male'!$BM$7:$BR$85,6,FALSE)</f>
        <v>61</v>
      </c>
      <c r="BM43" s="112"/>
      <c r="BN43" s="112"/>
    </row>
    <row r="44" spans="59:66" ht="15.75" thickBot="1">
      <c r="BG44" s="73" t="str">
        <f t="shared" si="9"/>
        <v>Male9</v>
      </c>
      <c r="BH44" s="73">
        <v>9</v>
      </c>
      <c r="BI44" s="73" t="str">
        <f>VLOOKUP(CONCATENATE("In",$B17),'League Races Male'!$BM$7:$BR$85,5,FALSE)</f>
        <v>Mark Steiler</v>
      </c>
      <c r="BJ44" s="111">
        <f>VLOOKUP(CONCATENATE("In",$B17),'League Races Male'!$BM$7:$BR$85,3,FALSE)</f>
        <v>0.029965277777777775</v>
      </c>
      <c r="BK44" s="112">
        <f>VLOOKUP(CONCATENATE("In",$B17),'League Races Male'!$BM$7:$BR$85,4,FALSE)</f>
        <v>69.33443387990287</v>
      </c>
      <c r="BL44" s="112">
        <f>VLOOKUP(CONCATENATE("In",$B17),'League Races Male'!$BM$7:$BR$85,6,FALSE)</f>
        <v>45</v>
      </c>
      <c r="BM44" s="112"/>
      <c r="BN44" s="112"/>
    </row>
    <row r="45" spans="59:66" ht="15.75" thickBot="1">
      <c r="BG45" s="73" t="str">
        <f t="shared" si="9"/>
        <v>Male10</v>
      </c>
      <c r="BH45" s="73">
        <v>10</v>
      </c>
      <c r="BI45" s="73" t="str">
        <f>VLOOKUP(CONCATENATE("In",$B18),'League Races Male'!$BM$7:$BR$85,5,FALSE)</f>
        <v>Paul Rose</v>
      </c>
      <c r="BJ45" s="111">
        <f>VLOOKUP(CONCATENATE("In",$B18),'League Races Male'!$BM$7:$BR$85,3,FALSE)</f>
        <v>0.030335648148148143</v>
      </c>
      <c r="BK45" s="112">
        <f>VLOOKUP(CONCATENATE("In",$B18),'League Races Male'!$BM$7:$BR$85,4,FALSE)</f>
        <v>67.56971654008895</v>
      </c>
      <c r="BL45" s="112">
        <f>VLOOKUP(CONCATENATE("In",$B18),'League Races Male'!$BM$7:$BR$85,6,FALSE)</f>
        <v>43</v>
      </c>
      <c r="BM45" s="112"/>
      <c r="BN45" s="112"/>
    </row>
    <row r="46" spans="59:66" ht="15.75" thickBot="1">
      <c r="BG46" s="73" t="str">
        <f t="shared" si="9"/>
        <v>Male11</v>
      </c>
      <c r="BH46" s="73">
        <v>11</v>
      </c>
      <c r="BI46" s="73" t="str">
        <f>VLOOKUP(CONCATENATE("In",$B19),'League Races Male'!$BM$7:$BR$85,5,FALSE)</f>
        <v>Arwel James</v>
      </c>
      <c r="BJ46" s="111">
        <f>VLOOKUP(CONCATENATE("In",$B19),'League Races Male'!$BM$7:$BR$85,3,FALSE)</f>
        <v>0.030659722222222224</v>
      </c>
      <c r="BK46" s="112">
        <f>VLOOKUP(CONCATENATE("In",$B19),'League Races Male'!$BM$7:$BR$85,4,FALSE)</f>
        <v>65.1576971408182</v>
      </c>
      <c r="BL46" s="112">
        <f>VLOOKUP(CONCATENATE("In",$B19),'League Races Male'!$BM$7:$BR$85,6,FALSE)</f>
        <v>39</v>
      </c>
      <c r="BM46" s="112"/>
      <c r="BN46" s="112"/>
    </row>
    <row r="47" spans="59:66" ht="15.75" thickBot="1">
      <c r="BG47" s="73" t="str">
        <f t="shared" si="9"/>
        <v>Male12</v>
      </c>
      <c r="BH47" s="73">
        <v>12</v>
      </c>
      <c r="BI47" s="73" t="str">
        <f>VLOOKUP(CONCATENATE("In",$B20),'League Races Male'!$BM$7:$BR$85,5,FALSE)</f>
        <v>Tony Wenlock</v>
      </c>
      <c r="BJ47" s="111">
        <f>VLOOKUP(CONCATENATE("In",$B20),'League Races Male'!$BM$7:$BR$85,3,FALSE)</f>
        <v>0.03096064814814815</v>
      </c>
      <c r="BK47" s="112">
        <f>VLOOKUP(CONCATENATE("In",$B20),'League Races Male'!$BM$7:$BR$85,4,FALSE)</f>
        <v>71.27650431825523</v>
      </c>
      <c r="BL47" s="112">
        <f>VLOOKUP(CONCATENATE("In",$B20),'League Races Male'!$BM$7:$BR$85,6,FALSE)</f>
        <v>53</v>
      </c>
      <c r="BM47" s="112"/>
      <c r="BN47" s="112"/>
    </row>
    <row r="48" spans="59:66" ht="15.75" thickBot="1">
      <c r="BG48" s="73" t="str">
        <f t="shared" si="9"/>
        <v>Male13</v>
      </c>
      <c r="BH48" s="73">
        <v>13</v>
      </c>
      <c r="BI48" s="73" t="str">
        <f>VLOOKUP(CONCATENATE("In",$B21),'League Races Male'!$BM$7:$BR$85,5,FALSE)</f>
        <v>Adriano Evola</v>
      </c>
      <c r="BJ48" s="111">
        <f>VLOOKUP(CONCATENATE("In",$B21),'League Races Male'!$BM$7:$BR$85,3,FALSE)</f>
        <v>0.03099537037037037</v>
      </c>
      <c r="BK48" s="112">
        <f>VLOOKUP(CONCATENATE("In",$B21),'League Races Male'!$BM$7:$BR$85,4,FALSE)</f>
        <v>68.94166878233693</v>
      </c>
      <c r="BL48" s="112">
        <f>VLOOKUP(CONCATENATE("In",$B21),'League Races Male'!$BM$7:$BR$85,6,FALSE)</f>
        <v>49</v>
      </c>
      <c r="BM48" s="112"/>
      <c r="BN48" s="112"/>
    </row>
    <row r="49" spans="59:66" ht="15.75" thickBot="1">
      <c r="BG49" s="73" t="str">
        <f t="shared" si="9"/>
        <v>Male14</v>
      </c>
      <c r="BH49" s="73">
        <v>14</v>
      </c>
      <c r="BI49" s="73" t="str">
        <f>VLOOKUP(CONCATENATE("In",$B22),'League Races Male'!$BM$7:$BR$85,5,FALSE)</f>
        <v>Cliff Thomas</v>
      </c>
      <c r="BJ49" s="111">
        <f>VLOOKUP(CONCATENATE("In",$B22),'League Races Male'!$BM$7:$BR$85,3,FALSE)</f>
        <v>0.03193287037037037</v>
      </c>
      <c r="BK49" s="112">
        <f>VLOOKUP(CONCATENATE("In",$B22),'League Races Male'!$BM$7:$BR$85,4,FALSE)</f>
        <v>75.39920842799279</v>
      </c>
      <c r="BL49" s="112">
        <f>VLOOKUP(CONCATENATE("In",$B22),'League Races Male'!$BM$7:$BR$85,6,FALSE)</f>
        <v>62</v>
      </c>
      <c r="BM49" s="112"/>
      <c r="BN49" s="112"/>
    </row>
    <row r="50" spans="59:66" ht="15.75" thickBot="1">
      <c r="BG50" s="73" t="str">
        <f t="shared" si="9"/>
        <v>Male15</v>
      </c>
      <c r="BH50" s="73">
        <v>15</v>
      </c>
      <c r="BI50" s="73" t="str">
        <f>VLOOKUP(CONCATENATE("In",$B23),'League Races Male'!$BM$7:$BR$85,5,FALSE)</f>
        <v>Andy Eden</v>
      </c>
      <c r="BJ50" s="111">
        <f>VLOOKUP(CONCATENATE("In",$B23),'League Races Male'!$BM$7:$BR$85,3,FALSE)</f>
        <v>0.03238425925925926</v>
      </c>
      <c r="BK50" s="112">
        <f>VLOOKUP(CONCATENATE("In",$B23),'League Races Male'!$BM$7:$BR$85,4,FALSE)</f>
        <v>65.03201020057651</v>
      </c>
      <c r="BL50" s="112">
        <f>VLOOKUP(CONCATENATE("In",$B23),'League Races Male'!$BM$7:$BR$85,6,FALSE)</f>
        <v>47</v>
      </c>
      <c r="BM50" s="112"/>
      <c r="BN50" s="112"/>
    </row>
    <row r="51" spans="59:66" ht="15.75" thickBot="1">
      <c r="BG51" s="73" t="str">
        <f t="shared" si="9"/>
        <v>Male16</v>
      </c>
      <c r="BH51" s="73">
        <v>16</v>
      </c>
      <c r="BI51" s="73" t="str">
        <f>VLOOKUP(CONCATENATE("In",$B24),'League Races Male'!$BM$7:$BR$85,5,FALSE)</f>
        <v>Clive Williams</v>
      </c>
      <c r="BJ51" s="111">
        <f>VLOOKUP(CONCATENATE("In",$B24),'League Races Male'!$BM$7:$BR$85,3,FALSE)</f>
        <v>0.032824074074074075</v>
      </c>
      <c r="BK51" s="112">
        <f>VLOOKUP(CONCATENATE("In",$B24),'League Races Male'!$BM$7:$BR$85,4,FALSE)</f>
        <v>66.12181430507911</v>
      </c>
      <c r="BL51" s="112">
        <f>VLOOKUP(CONCATENATE("In",$B24),'League Races Male'!$BM$7:$BR$85,6,FALSE)</f>
        <v>51</v>
      </c>
      <c r="BM51" s="112"/>
      <c r="BN51" s="112"/>
    </row>
    <row r="52" spans="59:66" ht="15.75" thickBot="1">
      <c r="BG52" s="73" t="str">
        <f t="shared" si="9"/>
        <v>Male17</v>
      </c>
      <c r="BH52" s="73">
        <v>17</v>
      </c>
      <c r="BI52" s="73" t="str">
        <f>VLOOKUP(CONCATENATE("In",$B25),'League Races Male'!$BM$7:$BR$85,5,FALSE)</f>
        <v>Will Troughton</v>
      </c>
      <c r="BJ52" s="111">
        <f>VLOOKUP(CONCATENATE("In",$B25),'League Races Male'!$BM$7:$BR$85,3,FALSE)</f>
        <v>0.034409722222222223</v>
      </c>
      <c r="BK52" s="112">
        <f>VLOOKUP(CONCATENATE("In",$B25),'League Races Male'!$BM$7:$BR$85,4,FALSE)</f>
        <v>60.78537374766544</v>
      </c>
      <c r="BL52" s="112">
        <f>VLOOKUP(CONCATENATE("In",$B25),'League Races Male'!$BM$7:$BR$85,6,FALSE)</f>
        <v>46</v>
      </c>
      <c r="BM52" s="112"/>
      <c r="BN52" s="112"/>
    </row>
    <row r="53" spans="59:66" ht="15.75" thickBot="1">
      <c r="BG53" s="73" t="str">
        <f t="shared" si="9"/>
        <v>Male18</v>
      </c>
      <c r="BH53" s="73">
        <v>18</v>
      </c>
      <c r="BI53" s="73" t="str">
        <f>VLOOKUP(CONCATENATE("In",$B26),'League Races Male'!$BM$7:$BR$85,5,FALSE)</f>
        <v>Paul Arnold</v>
      </c>
      <c r="BJ53" s="111">
        <f>VLOOKUP(CONCATENATE("In",$B26),'League Races Male'!$BM$7:$BR$85,3,FALSE)</f>
        <v>0.036099537037037034</v>
      </c>
      <c r="BK53" s="112">
        <f>VLOOKUP(CONCATENATE("In",$B26),'League Races Male'!$BM$7:$BR$85,4,FALSE)</f>
        <v>60.12230374132874</v>
      </c>
      <c r="BL53" s="112">
        <f>VLOOKUP(CONCATENATE("In",$B26),'League Races Male'!$BM$7:$BR$85,6,FALSE)</f>
        <v>51</v>
      </c>
      <c r="BM53" s="112"/>
      <c r="BN53" s="112"/>
    </row>
    <row r="54" spans="59:66" ht="15.75" thickBot="1">
      <c r="BG54" s="73" t="str">
        <f t="shared" si="9"/>
        <v>Male19</v>
      </c>
      <c r="BH54" s="73">
        <v>19</v>
      </c>
      <c r="BI54" s="73" t="e">
        <f>VLOOKUP(CONCATENATE("In",$B27),'League Races Male'!$BM$7:$BR$85,5,FALSE)</f>
        <v>#N/A</v>
      </c>
      <c r="BJ54" s="111" t="e">
        <f>VLOOKUP(CONCATENATE("In",$B27),'League Races Male'!$BM$7:$BR$85,3,FALSE)</f>
        <v>#N/A</v>
      </c>
      <c r="BK54" s="112" t="e">
        <f>VLOOKUP(CONCATENATE("In",$B27),'League Races Male'!$BM$7:$BR$85,4,FALSE)</f>
        <v>#N/A</v>
      </c>
      <c r="BL54" s="112" t="e">
        <f>VLOOKUP(CONCATENATE("In",$B27),'League Races Male'!$BM$7:$BR$85,6,FALSE)</f>
        <v>#N/A</v>
      </c>
      <c r="BM54" s="112"/>
      <c r="BN54" s="112"/>
    </row>
    <row r="55" spans="59:66" ht="15.75" thickBot="1">
      <c r="BG55" s="73" t="str">
        <f t="shared" si="9"/>
        <v>Male20</v>
      </c>
      <c r="BH55" s="73">
        <v>20</v>
      </c>
      <c r="BI55" s="73" t="e">
        <f>VLOOKUP(CONCATENATE("In",$B28),'League Races Male'!$BM$7:$BR$85,5,FALSE)</f>
        <v>#N/A</v>
      </c>
      <c r="BJ55" s="111" t="e">
        <f>VLOOKUP(CONCATENATE("In",$B28),'League Races Male'!$BM$7:$BR$85,3,FALSE)</f>
        <v>#N/A</v>
      </c>
      <c r="BK55" s="112" t="e">
        <f>VLOOKUP(CONCATENATE("In",$B28),'League Races Male'!$BM$7:$BR$85,4,FALSE)</f>
        <v>#N/A</v>
      </c>
      <c r="BL55" s="112" t="e">
        <f>VLOOKUP(CONCATENATE("In",$B28),'League Races Male'!$BM$7:$BR$85,6,FALSE)</f>
        <v>#N/A</v>
      </c>
      <c r="BM55" s="112"/>
      <c r="BN55" s="112"/>
    </row>
    <row r="56" spans="59:66" ht="15.75" thickBot="1">
      <c r="BG56" s="73" t="str">
        <f t="shared" si="9"/>
        <v>Male21</v>
      </c>
      <c r="BH56" s="73">
        <v>21</v>
      </c>
      <c r="BI56" s="73" t="e">
        <f>VLOOKUP(CONCATENATE("In",$B29),'League Races Male'!$BM$7:$BR$85,5,FALSE)</f>
        <v>#N/A</v>
      </c>
      <c r="BJ56" s="111" t="e">
        <f>VLOOKUP(CONCATENATE("In",$B29),'League Races Male'!$BM$7:$BR$85,3,FALSE)</f>
        <v>#N/A</v>
      </c>
      <c r="BK56" s="112" t="e">
        <f>VLOOKUP(CONCATENATE("In",$B29),'League Races Male'!$BM$7:$BR$85,4,FALSE)</f>
        <v>#N/A</v>
      </c>
      <c r="BL56" s="112" t="e">
        <f>VLOOKUP(CONCATENATE("In",$B29),'League Races Male'!$BM$7:$BR$85,6,FALSE)</f>
        <v>#N/A</v>
      </c>
      <c r="BM56" s="112"/>
      <c r="BN56" s="112"/>
    </row>
    <row r="57" spans="59:66" ht="15.75" thickBot="1">
      <c r="BG57" s="73" t="str">
        <f t="shared" si="9"/>
        <v>Male22</v>
      </c>
      <c r="BH57" s="73">
        <v>22</v>
      </c>
      <c r="BI57" s="73" t="e">
        <f>VLOOKUP(CONCATENATE("In",$B30),'League Races Male'!$BM$7:$BR$85,5,FALSE)</f>
        <v>#N/A</v>
      </c>
      <c r="BJ57" s="111" t="e">
        <f>VLOOKUP(CONCATENATE("In",$B30),'League Races Male'!$BM$7:$BR$85,3,FALSE)</f>
        <v>#N/A</v>
      </c>
      <c r="BK57" s="112" t="e">
        <f>VLOOKUP(CONCATENATE("In",$B30),'League Races Male'!$BM$7:$BR$85,4,FALSE)</f>
        <v>#N/A</v>
      </c>
      <c r="BL57" s="112" t="e">
        <f>VLOOKUP(CONCATENATE("In",$B30),'League Races Male'!$BM$7:$BR$85,6,FALSE)</f>
        <v>#N/A</v>
      </c>
      <c r="BM57" s="112"/>
      <c r="BN57" s="112"/>
    </row>
    <row r="58" spans="59:66" ht="15.75" thickBot="1">
      <c r="BG58" s="73" t="str">
        <f t="shared" si="9"/>
        <v>Male23</v>
      </c>
      <c r="BH58" s="73">
        <v>23</v>
      </c>
      <c r="BI58" s="73" t="e">
        <f>VLOOKUP(CONCATENATE("In",$B31),'League Races Male'!$BM$7:$BR$85,5,FALSE)</f>
        <v>#N/A</v>
      </c>
      <c r="BJ58" s="111" t="e">
        <f>VLOOKUP(CONCATENATE("In",$B31),'League Races Male'!$BM$7:$BR$85,3,FALSE)</f>
        <v>#N/A</v>
      </c>
      <c r="BK58" s="112" t="e">
        <f>VLOOKUP(CONCATENATE("In",$B31),'League Races Male'!$BM$7:$BR$85,4,FALSE)</f>
        <v>#N/A</v>
      </c>
      <c r="BL58" s="112" t="e">
        <f>VLOOKUP(CONCATENATE("In",$B31),'League Races Male'!$BM$7:$BR$85,6,FALSE)</f>
        <v>#N/A</v>
      </c>
      <c r="BM58" s="112"/>
      <c r="BN58" s="112"/>
    </row>
    <row r="59" spans="59:66" ht="15.75" thickBot="1">
      <c r="BG59" s="73" t="str">
        <f t="shared" si="9"/>
        <v>Male24</v>
      </c>
      <c r="BH59" s="73">
        <v>24</v>
      </c>
      <c r="BI59" s="73" t="e">
        <f>VLOOKUP(CONCATENATE("In",$B32),'League Races Male'!$BM$7:$BR$85,5,FALSE)</f>
        <v>#N/A</v>
      </c>
      <c r="BJ59" s="111" t="e">
        <f>VLOOKUP(CONCATENATE("In",$B32),'League Races Male'!$BM$7:$BR$85,3,FALSE)</f>
        <v>#N/A</v>
      </c>
      <c r="BK59" s="112" t="e">
        <f>VLOOKUP(CONCATENATE("In",$B32),'League Races Male'!$BM$7:$BR$85,4,FALSE)</f>
        <v>#N/A</v>
      </c>
      <c r="BL59" s="112" t="e">
        <f>VLOOKUP(CONCATENATE("In",$B32),'League Races Male'!$BM$7:$BR$85,6,FALSE)</f>
        <v>#N/A</v>
      </c>
      <c r="BM59" s="112"/>
      <c r="BN59" s="112"/>
    </row>
    <row r="60" spans="59:69" ht="15">
      <c r="BG60" s="73" t="str">
        <f t="shared" si="9"/>
        <v>Male25</v>
      </c>
      <c r="BH60" s="73">
        <v>25</v>
      </c>
      <c r="BI60" s="73" t="e">
        <f>VLOOKUP(CONCATENATE("In",$B33),'League Races Male'!$BM$7:$BR$85,5,FALSE)</f>
        <v>#N/A</v>
      </c>
      <c r="BJ60" s="111" t="e">
        <f>VLOOKUP(CONCATENATE("In",$B33),'League Races Male'!$BM$7:$BR$85,3,FALSE)</f>
        <v>#N/A</v>
      </c>
      <c r="BK60" s="112" t="e">
        <f>VLOOKUP(CONCATENATE("In",$B33),'League Races Male'!$BM$7:$BR$85,4,FALSE)</f>
        <v>#N/A</v>
      </c>
      <c r="BL60" s="112" t="e">
        <f>VLOOKUP(CONCATENATE("In",$B33),'League Races Male'!$BM$7:$BR$85,6,FALSE)</f>
        <v>#N/A</v>
      </c>
      <c r="BM60" s="112"/>
      <c r="BN60" s="112"/>
      <c r="BO60" s="73" t="s">
        <v>141</v>
      </c>
      <c r="BP60" s="73">
        <f>COUNTIF(BL36:BL60,"#N/A")</f>
        <v>7</v>
      </c>
      <c r="BQ60" s="73">
        <f>25-BP60</f>
        <v>18</v>
      </c>
    </row>
  </sheetData>
  <sheetProtection sheet="1" objects="1" scenarios="1"/>
  <mergeCells count="16">
    <mergeCell ref="BE1:BU2"/>
    <mergeCell ref="BA1:BD2"/>
    <mergeCell ref="A2:B2"/>
    <mergeCell ref="AV1:AZ2"/>
    <mergeCell ref="E2:K2"/>
    <mergeCell ref="E6:G6"/>
    <mergeCell ref="E5:G5"/>
    <mergeCell ref="N25:O27"/>
    <mergeCell ref="N28:O29"/>
    <mergeCell ref="BO7:BR7"/>
    <mergeCell ref="BH7:BK7"/>
    <mergeCell ref="BA23:BB26"/>
    <mergeCell ref="BA27:BB27"/>
    <mergeCell ref="BA5:BB22"/>
    <mergeCell ref="BP9:BQ11"/>
    <mergeCell ref="BQ4:BT6"/>
  </mergeCells>
  <conditionalFormatting sqref="C9:C12 C14:C33 D9:G33">
    <cfRule type="expression" priority="1" dxfId="5" stopIfTrue="1">
      <formula>$B9&gt;$BD$29</formula>
    </cfRule>
  </conditionalFormatting>
  <conditionalFormatting sqref="C13">
    <cfRule type="expression" priority="2" dxfId="5" stopIfTrue="1">
      <formula>$B13&gt;$BD$29</formula>
    </cfRule>
  </conditionalFormatting>
  <hyperlinks>
    <hyperlink ref="A2:B2" location="'Front Page'!A1" display="Front Page"/>
  </hyperlinks>
  <printOptions/>
  <pageMargins left="0.75" right="0.75" top="1" bottom="1" header="0.5" footer="0.5"/>
  <pageSetup orientation="portrait" paperSize="9" r:id="rId3"/>
  <drawing r:id="rId2"/>
  <legacyDrawing r:id="rId1"/>
</worksheet>
</file>

<file path=xl/worksheets/sheet8.xml><?xml version="1.0" encoding="utf-8"?>
<worksheet xmlns="http://schemas.openxmlformats.org/spreadsheetml/2006/main" xmlns:r="http://schemas.openxmlformats.org/officeDocument/2006/relationships">
  <dimension ref="A2:L30"/>
  <sheetViews>
    <sheetView zoomScale="75" zoomScaleNormal="75" workbookViewId="0" topLeftCell="B1">
      <selection activeCell="J7" sqref="J7"/>
    </sheetView>
  </sheetViews>
  <sheetFormatPr defaultColWidth="9.140625" defaultRowHeight="12.75"/>
  <cols>
    <col min="1" max="1" width="9.140625" style="0" hidden="1" customWidth="1"/>
    <col min="3" max="3" width="2.140625" style="0" hidden="1" customWidth="1"/>
    <col min="4" max="4" width="2.8515625" style="0" hidden="1" customWidth="1"/>
    <col min="5" max="5" width="12.57421875" style="0" customWidth="1"/>
    <col min="6" max="6" width="28.7109375" style="0" customWidth="1"/>
    <col min="7" max="7" width="16.00390625" style="0" customWidth="1"/>
    <col min="8" max="8" width="42.421875" style="0" customWidth="1"/>
    <col min="9" max="9" width="32.57421875" style="0" customWidth="1"/>
  </cols>
  <sheetData>
    <row r="2" spans="2:9" ht="15">
      <c r="B2" s="211" t="s">
        <v>5</v>
      </c>
      <c r="E2" s="73" t="s">
        <v>89</v>
      </c>
      <c r="F2" s="73" t="s">
        <v>90</v>
      </c>
      <c r="G2" s="73" t="s">
        <v>26</v>
      </c>
      <c r="H2" s="73" t="s">
        <v>91</v>
      </c>
      <c r="I2" s="73" t="s">
        <v>182</v>
      </c>
    </row>
    <row r="3" spans="1:9" ht="15">
      <c r="A3" t="s">
        <v>5</v>
      </c>
      <c r="B3" s="69" t="s">
        <v>39</v>
      </c>
      <c r="C3" s="24"/>
      <c r="D3" s="24" t="str">
        <f>CONCATENATE(A3,B3)</f>
        <v>Male1 Mile</v>
      </c>
      <c r="E3" s="74">
        <v>0.0025810185185185185</v>
      </c>
      <c r="F3" s="75" t="s">
        <v>92</v>
      </c>
      <c r="G3" s="78">
        <v>35990</v>
      </c>
      <c r="H3" s="75" t="s">
        <v>93</v>
      </c>
      <c r="I3" s="24" t="s">
        <v>172</v>
      </c>
    </row>
    <row r="4" spans="1:9" ht="15">
      <c r="A4" t="s">
        <v>5</v>
      </c>
      <c r="B4" s="69" t="s">
        <v>20</v>
      </c>
      <c r="C4" s="24"/>
      <c r="D4" s="24" t="str">
        <f aca="true" t="shared" si="0" ref="D4:D30">CONCATENATE(A4,B4)</f>
        <v>Male5k</v>
      </c>
      <c r="E4" s="74">
        <v>0.009016203703703703</v>
      </c>
      <c r="F4" s="76" t="s">
        <v>76</v>
      </c>
      <c r="G4" s="77">
        <v>36611</v>
      </c>
      <c r="H4" s="76" t="s">
        <v>77</v>
      </c>
      <c r="I4" s="24" t="s">
        <v>173</v>
      </c>
    </row>
    <row r="5" spans="1:9" ht="15">
      <c r="A5" t="s">
        <v>5</v>
      </c>
      <c r="B5" s="69" t="s">
        <v>40</v>
      </c>
      <c r="C5" s="24"/>
      <c r="D5" s="24" t="str">
        <f t="shared" si="0"/>
        <v>Male8k</v>
      </c>
      <c r="E5" s="74">
        <v>0.0153125</v>
      </c>
      <c r="F5" s="76" t="s">
        <v>174</v>
      </c>
      <c r="G5" s="77">
        <v>35266</v>
      </c>
      <c r="H5" s="76" t="s">
        <v>78</v>
      </c>
      <c r="I5" s="24" t="s">
        <v>173</v>
      </c>
    </row>
    <row r="6" spans="1:9" ht="15">
      <c r="A6" t="s">
        <v>5</v>
      </c>
      <c r="B6" s="69" t="s">
        <v>21</v>
      </c>
      <c r="C6" s="24"/>
      <c r="D6" s="24" t="str">
        <f t="shared" si="0"/>
        <v>Male5 Mile</v>
      </c>
      <c r="E6" s="74">
        <v>0.01537037037037037</v>
      </c>
      <c r="F6" s="76" t="s">
        <v>79</v>
      </c>
      <c r="G6" s="77">
        <v>34091</v>
      </c>
      <c r="H6" s="76" t="s">
        <v>80</v>
      </c>
      <c r="I6" s="24" t="s">
        <v>172</v>
      </c>
    </row>
    <row r="7" spans="1:9" ht="12.75" customHeight="1">
      <c r="A7" t="s">
        <v>5</v>
      </c>
      <c r="B7" s="69" t="s">
        <v>49</v>
      </c>
      <c r="C7" s="24"/>
      <c r="D7" s="24" t="str">
        <f t="shared" si="0"/>
        <v>Male10 k</v>
      </c>
      <c r="E7" s="212">
        <v>0.018958333333333334</v>
      </c>
      <c r="F7" s="24" t="s">
        <v>76</v>
      </c>
      <c r="G7" s="213">
        <v>36989</v>
      </c>
      <c r="H7" s="24" t="s">
        <v>175</v>
      </c>
      <c r="I7" s="24" t="s">
        <v>173</v>
      </c>
    </row>
    <row r="8" spans="1:9" ht="12.75" customHeight="1">
      <c r="A8" t="s">
        <v>5</v>
      </c>
      <c r="B8" s="69" t="s">
        <v>50</v>
      </c>
      <c r="C8" s="24"/>
      <c r="D8" s="24" t="str">
        <f t="shared" si="0"/>
        <v>Male15 k</v>
      </c>
      <c r="E8" s="212">
        <v>0.028796296296296296</v>
      </c>
      <c r="F8" s="24" t="s">
        <v>176</v>
      </c>
      <c r="G8" s="213">
        <v>37206</v>
      </c>
      <c r="H8" s="24" t="s">
        <v>177</v>
      </c>
      <c r="I8" s="24" t="s">
        <v>173</v>
      </c>
    </row>
    <row r="9" spans="1:9" ht="15">
      <c r="A9" t="s">
        <v>5</v>
      </c>
      <c r="B9" s="69" t="s">
        <v>25</v>
      </c>
      <c r="C9" s="24"/>
      <c r="D9" s="24" t="str">
        <f t="shared" si="0"/>
        <v>Male10 Mile</v>
      </c>
      <c r="E9" s="74">
        <v>0.030833333333333334</v>
      </c>
      <c r="F9" s="76" t="s">
        <v>81</v>
      </c>
      <c r="G9" s="77">
        <v>38599</v>
      </c>
      <c r="H9" s="76" t="s">
        <v>82</v>
      </c>
      <c r="I9" s="24" t="s">
        <v>173</v>
      </c>
    </row>
    <row r="10" spans="1:9" ht="12.75">
      <c r="A10" t="s">
        <v>5</v>
      </c>
      <c r="B10" s="69" t="s">
        <v>51</v>
      </c>
      <c r="C10" s="24"/>
      <c r="D10" s="24" t="str">
        <f t="shared" si="0"/>
        <v>Male20 k</v>
      </c>
      <c r="E10" s="212">
        <v>0.03890046296296296</v>
      </c>
      <c r="F10" s="24" t="s">
        <v>178</v>
      </c>
      <c r="G10" s="213">
        <v>38998</v>
      </c>
      <c r="H10" s="24" t="s">
        <v>179</v>
      </c>
      <c r="I10" s="24" t="s">
        <v>173</v>
      </c>
    </row>
    <row r="11" spans="1:9" ht="25.5">
      <c r="A11" t="s">
        <v>5</v>
      </c>
      <c r="B11" s="69" t="s">
        <v>23</v>
      </c>
      <c r="C11" s="24"/>
      <c r="D11" s="24" t="str">
        <f t="shared" si="0"/>
        <v>MaleHalf Marathon</v>
      </c>
      <c r="E11" s="212">
        <v>0.041053240740740744</v>
      </c>
      <c r="F11" s="24" t="s">
        <v>180</v>
      </c>
      <c r="G11" s="213">
        <v>38809</v>
      </c>
      <c r="H11" s="24" t="s">
        <v>181</v>
      </c>
      <c r="I11" s="24" t="s">
        <v>173</v>
      </c>
    </row>
    <row r="12" spans="1:12" ht="12.75">
      <c r="A12" t="s">
        <v>5</v>
      </c>
      <c r="B12" s="69" t="s">
        <v>52</v>
      </c>
      <c r="C12" s="24"/>
      <c r="D12" s="24" t="str">
        <f t="shared" si="0"/>
        <v>Male25 k</v>
      </c>
      <c r="E12" s="212">
        <v>0.05052083333333333</v>
      </c>
      <c r="F12" s="24" t="s">
        <v>180</v>
      </c>
      <c r="G12" s="213">
        <v>38116</v>
      </c>
      <c r="H12" s="24" t="s">
        <v>181</v>
      </c>
      <c r="I12" s="24" t="s">
        <v>173</v>
      </c>
      <c r="J12" s="433" t="s">
        <v>103</v>
      </c>
      <c r="K12" s="433"/>
      <c r="L12" s="433"/>
    </row>
    <row r="13" spans="1:12" ht="15">
      <c r="A13" t="s">
        <v>5</v>
      </c>
      <c r="B13" s="69" t="s">
        <v>53</v>
      </c>
      <c r="C13" s="24"/>
      <c r="D13" s="24" t="str">
        <f t="shared" si="0"/>
        <v>Male30 k</v>
      </c>
      <c r="E13" s="74">
        <v>0.061111111111111116</v>
      </c>
      <c r="F13" s="76" t="s">
        <v>83</v>
      </c>
      <c r="G13" s="77">
        <v>38410</v>
      </c>
      <c r="H13" s="76" t="s">
        <v>84</v>
      </c>
      <c r="I13" s="24" t="s">
        <v>172</v>
      </c>
      <c r="J13" s="433"/>
      <c r="K13" s="433"/>
      <c r="L13" s="433"/>
    </row>
    <row r="14" spans="1:12" ht="15">
      <c r="A14" t="s">
        <v>5</v>
      </c>
      <c r="B14" s="69" t="s">
        <v>24</v>
      </c>
      <c r="C14" s="24"/>
      <c r="D14" s="24" t="str">
        <f t="shared" si="0"/>
        <v>Male20 Mile</v>
      </c>
      <c r="E14" s="74">
        <v>0.06622685185185186</v>
      </c>
      <c r="F14" s="76" t="s">
        <v>85</v>
      </c>
      <c r="G14" s="77">
        <v>31340</v>
      </c>
      <c r="H14" s="76" t="s">
        <v>86</v>
      </c>
      <c r="I14" s="24" t="s">
        <v>172</v>
      </c>
      <c r="J14" s="433"/>
      <c r="K14" s="433"/>
      <c r="L14" s="433"/>
    </row>
    <row r="15" spans="1:12" ht="15">
      <c r="A15" t="s">
        <v>5</v>
      </c>
      <c r="B15" s="69" t="s">
        <v>54</v>
      </c>
      <c r="C15" s="24"/>
      <c r="D15" s="24" t="str">
        <f t="shared" si="0"/>
        <v>MaleMarathon</v>
      </c>
      <c r="E15" s="74">
        <v>0.08674768518518518</v>
      </c>
      <c r="F15" s="76" t="s">
        <v>87</v>
      </c>
      <c r="G15" s="77">
        <v>37892</v>
      </c>
      <c r="H15" s="76" t="s">
        <v>88</v>
      </c>
      <c r="I15" s="24" t="s">
        <v>173</v>
      </c>
      <c r="J15" s="433"/>
      <c r="K15" s="433"/>
      <c r="L15" s="433"/>
    </row>
    <row r="16" spans="5:12" ht="15">
      <c r="E16" s="73"/>
      <c r="F16" s="73"/>
      <c r="G16" s="73"/>
      <c r="H16" s="73"/>
      <c r="J16" s="433"/>
      <c r="K16" s="433"/>
      <c r="L16" s="433"/>
    </row>
    <row r="17" spans="1:12" ht="15">
      <c r="A17" t="s">
        <v>55</v>
      </c>
      <c r="B17" s="211" t="s">
        <v>55</v>
      </c>
      <c r="D17" t="str">
        <f t="shared" si="0"/>
        <v>FemaleFemale</v>
      </c>
      <c r="E17" s="73"/>
      <c r="F17" s="73"/>
      <c r="G17" s="73"/>
      <c r="H17" s="73"/>
      <c r="J17" s="433"/>
      <c r="K17" s="433"/>
      <c r="L17" s="433"/>
    </row>
    <row r="18" spans="1:12" ht="15">
      <c r="A18" t="s">
        <v>55</v>
      </c>
      <c r="B18" s="69" t="s">
        <v>39</v>
      </c>
      <c r="C18" s="24"/>
      <c r="D18" s="24" t="str">
        <f t="shared" si="0"/>
        <v>Female1 Mile</v>
      </c>
      <c r="E18" s="74">
        <v>0.0029282407407407412</v>
      </c>
      <c r="F18" s="75" t="s">
        <v>102</v>
      </c>
      <c r="G18" s="78">
        <v>35291</v>
      </c>
      <c r="H18" s="75" t="s">
        <v>95</v>
      </c>
      <c r="I18" s="24" t="s">
        <v>172</v>
      </c>
      <c r="J18" s="433"/>
      <c r="K18" s="433"/>
      <c r="L18" s="433"/>
    </row>
    <row r="19" spans="1:9" ht="15">
      <c r="A19" t="s">
        <v>55</v>
      </c>
      <c r="B19" s="69" t="s">
        <v>20</v>
      </c>
      <c r="C19" s="24"/>
      <c r="D19" s="24" t="str">
        <f t="shared" si="0"/>
        <v>Female5k</v>
      </c>
      <c r="E19" s="79">
        <v>0.01025462962962963</v>
      </c>
      <c r="F19" s="75" t="s">
        <v>183</v>
      </c>
      <c r="G19" s="78">
        <v>38816</v>
      </c>
      <c r="H19" s="75" t="s">
        <v>77</v>
      </c>
      <c r="I19" s="24" t="s">
        <v>173</v>
      </c>
    </row>
    <row r="20" spans="1:9" ht="15">
      <c r="A20" t="s">
        <v>55</v>
      </c>
      <c r="B20" s="69" t="s">
        <v>40</v>
      </c>
      <c r="C20" s="24"/>
      <c r="D20" s="24" t="str">
        <f t="shared" si="0"/>
        <v>Female8k</v>
      </c>
      <c r="E20" s="74">
        <v>0.017106481481481483</v>
      </c>
      <c r="F20" s="75" t="s">
        <v>100</v>
      </c>
      <c r="G20" s="78">
        <v>37675</v>
      </c>
      <c r="H20" s="75" t="s">
        <v>97</v>
      </c>
      <c r="I20" s="24" t="s">
        <v>173</v>
      </c>
    </row>
    <row r="21" spans="1:9" ht="15">
      <c r="A21" t="s">
        <v>55</v>
      </c>
      <c r="B21" s="69" t="s">
        <v>21</v>
      </c>
      <c r="C21" s="24"/>
      <c r="D21" s="24" t="str">
        <f t="shared" si="0"/>
        <v>Female5 Mile</v>
      </c>
      <c r="E21" s="74">
        <v>0.016979166666666667</v>
      </c>
      <c r="F21" s="75" t="s">
        <v>98</v>
      </c>
      <c r="G21" s="78">
        <v>36450</v>
      </c>
      <c r="H21" s="75" t="s">
        <v>99</v>
      </c>
      <c r="I21" s="24" t="s">
        <v>172</v>
      </c>
    </row>
    <row r="22" spans="1:9" ht="12.75">
      <c r="A22" t="s">
        <v>55</v>
      </c>
      <c r="B22" s="69" t="s">
        <v>49</v>
      </c>
      <c r="C22" s="24"/>
      <c r="D22" s="24" t="str">
        <f t="shared" si="0"/>
        <v>Female10 k</v>
      </c>
      <c r="E22" s="212">
        <v>0.021157407407407406</v>
      </c>
      <c r="F22" s="24" t="s">
        <v>184</v>
      </c>
      <c r="G22" s="213">
        <v>37415</v>
      </c>
      <c r="H22" s="24" t="s">
        <v>185</v>
      </c>
      <c r="I22" s="24" t="s">
        <v>173</v>
      </c>
    </row>
    <row r="23" spans="1:9" ht="12.75">
      <c r="A23" t="s">
        <v>55</v>
      </c>
      <c r="B23" s="69" t="s">
        <v>50</v>
      </c>
      <c r="C23" s="24"/>
      <c r="D23" s="24" t="str">
        <f t="shared" si="0"/>
        <v>Female15 k</v>
      </c>
      <c r="E23" s="212">
        <v>0.03283564814814815</v>
      </c>
      <c r="F23" s="24" t="s">
        <v>186</v>
      </c>
      <c r="G23" s="213">
        <v>32102</v>
      </c>
      <c r="H23" s="24" t="s">
        <v>187</v>
      </c>
      <c r="I23" s="24" t="s">
        <v>173</v>
      </c>
    </row>
    <row r="24" spans="1:9" ht="12.75">
      <c r="A24" t="s">
        <v>55</v>
      </c>
      <c r="B24" s="69" t="s">
        <v>25</v>
      </c>
      <c r="C24" s="24"/>
      <c r="D24" s="24" t="str">
        <f t="shared" si="0"/>
        <v>Female10 Mile</v>
      </c>
      <c r="E24" s="212">
        <v>0.036238425925925924</v>
      </c>
      <c r="F24" s="24" t="s">
        <v>188</v>
      </c>
      <c r="G24" s="213">
        <v>38809</v>
      </c>
      <c r="H24" s="24" t="s">
        <v>189</v>
      </c>
      <c r="I24" s="24" t="s">
        <v>173</v>
      </c>
    </row>
    <row r="25" spans="1:9" ht="12.75">
      <c r="A25" t="s">
        <v>55</v>
      </c>
      <c r="B25" s="69" t="s">
        <v>51</v>
      </c>
      <c r="C25" s="24"/>
      <c r="D25" s="24" t="str">
        <f t="shared" si="0"/>
        <v>Female20 k</v>
      </c>
      <c r="E25" s="212">
        <v>0.043993055555555556</v>
      </c>
      <c r="F25" s="24" t="s">
        <v>190</v>
      </c>
      <c r="G25" s="213">
        <v>38998</v>
      </c>
      <c r="H25" s="24" t="s">
        <v>179</v>
      </c>
      <c r="I25" s="24" t="s">
        <v>173</v>
      </c>
    </row>
    <row r="26" spans="1:9" ht="25.5">
      <c r="A26" t="s">
        <v>55</v>
      </c>
      <c r="B26" s="69" t="s">
        <v>23</v>
      </c>
      <c r="C26" s="24"/>
      <c r="D26" s="24" t="str">
        <f t="shared" si="0"/>
        <v>FemaleHalf Marathon</v>
      </c>
      <c r="E26" s="74">
        <v>0.04637731481481481</v>
      </c>
      <c r="F26" s="24" t="s">
        <v>191</v>
      </c>
      <c r="G26" s="213">
        <v>37171</v>
      </c>
      <c r="H26" s="24" t="s">
        <v>192</v>
      </c>
      <c r="I26" s="24" t="s">
        <v>173</v>
      </c>
    </row>
    <row r="27" spans="1:9" ht="15">
      <c r="A27" t="s">
        <v>55</v>
      </c>
      <c r="B27" s="69" t="s">
        <v>52</v>
      </c>
      <c r="C27" s="24"/>
      <c r="D27" s="24" t="str">
        <f t="shared" si="0"/>
        <v>Female25 k</v>
      </c>
      <c r="E27" s="74">
        <v>0.05597222222222222</v>
      </c>
      <c r="F27" s="75" t="s">
        <v>96</v>
      </c>
      <c r="G27" s="78">
        <v>37724</v>
      </c>
      <c r="H27" s="75" t="s">
        <v>101</v>
      </c>
      <c r="I27" s="24" t="s">
        <v>172</v>
      </c>
    </row>
    <row r="28" spans="1:9" ht="12.75">
      <c r="A28" t="s">
        <v>55</v>
      </c>
      <c r="B28" s="69" t="s">
        <v>53</v>
      </c>
      <c r="C28" s="24"/>
      <c r="D28" s="24" t="str">
        <f t="shared" si="0"/>
        <v>Female30 k</v>
      </c>
      <c r="E28" s="212">
        <v>0.07690972222222221</v>
      </c>
      <c r="F28" s="24" t="s">
        <v>193</v>
      </c>
      <c r="G28" s="213">
        <v>29351</v>
      </c>
      <c r="H28" s="24" t="s">
        <v>194</v>
      </c>
      <c r="I28" s="24" t="s">
        <v>173</v>
      </c>
    </row>
    <row r="29" spans="1:9" ht="15">
      <c r="A29" t="s">
        <v>55</v>
      </c>
      <c r="B29" s="69" t="s">
        <v>24</v>
      </c>
      <c r="C29" s="24"/>
      <c r="D29" s="24" t="str">
        <f t="shared" si="0"/>
        <v>Female20 Mile</v>
      </c>
      <c r="E29" s="74">
        <v>0.07190972222222222</v>
      </c>
      <c r="F29" s="75" t="s">
        <v>96</v>
      </c>
      <c r="G29" s="78">
        <v>37724</v>
      </c>
      <c r="H29" s="75" t="s">
        <v>101</v>
      </c>
      <c r="I29" s="24" t="s">
        <v>172</v>
      </c>
    </row>
    <row r="30" spans="1:9" ht="15">
      <c r="A30" t="s">
        <v>55</v>
      </c>
      <c r="B30" s="69" t="s">
        <v>54</v>
      </c>
      <c r="C30" s="24"/>
      <c r="D30" s="24" t="str">
        <f t="shared" si="0"/>
        <v>FemaleMarathon</v>
      </c>
      <c r="E30" s="74">
        <v>0.0941550925925926</v>
      </c>
      <c r="F30" s="75" t="s">
        <v>100</v>
      </c>
      <c r="G30" s="78">
        <v>37724</v>
      </c>
      <c r="H30" s="75" t="s">
        <v>101</v>
      </c>
      <c r="I30" s="24" t="s">
        <v>172</v>
      </c>
    </row>
  </sheetData>
  <mergeCells count="1">
    <mergeCell ref="J12:L18"/>
  </mergeCells>
  <conditionalFormatting sqref="E19">
    <cfRule type="expression" priority="1" dxfId="1" stopIfTrue="1">
      <formula>E20=F$101</formula>
    </cfRule>
    <cfRule type="expression" priority="2" dxfId="3" stopIfTrue="1">
      <formula>E20=F$102</formula>
    </cfRule>
    <cfRule type="expression" priority="3" dxfId="0" stopIfTrue="1">
      <formula>E20=F$103</formula>
    </cfRule>
  </conditionalFormatting>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Q85"/>
  <sheetViews>
    <sheetView workbookViewId="0" topLeftCell="A1">
      <selection activeCell="Q30" sqref="Q30"/>
    </sheetView>
  </sheetViews>
  <sheetFormatPr defaultColWidth="9.140625" defaultRowHeight="12.75"/>
  <cols>
    <col min="1" max="1" width="7.28125" style="0" bestFit="1" customWidth="1"/>
    <col min="2" max="2" width="7.421875" style="0" bestFit="1" customWidth="1"/>
    <col min="3" max="3" width="7.140625" style="0" bestFit="1" customWidth="1"/>
    <col min="4" max="5" width="7.00390625" style="0" bestFit="1" customWidth="1"/>
    <col min="6" max="6" width="7.00390625" style="0" customWidth="1"/>
    <col min="7" max="8" width="7.00390625" style="0" bestFit="1" customWidth="1"/>
    <col min="9" max="9" width="7.140625" style="0" bestFit="1" customWidth="1"/>
    <col min="10" max="10" width="7.00390625" style="0" bestFit="1" customWidth="1"/>
    <col min="11" max="11" width="8.140625" style="0" bestFit="1" customWidth="1"/>
    <col min="12" max="13" width="7.00390625" style="0" bestFit="1" customWidth="1"/>
    <col min="14" max="14" width="7.00390625" style="0" customWidth="1"/>
    <col min="15" max="15" width="8.140625" style="0" bestFit="1" customWidth="1"/>
  </cols>
  <sheetData>
    <row r="1" spans="1:17" ht="12.75">
      <c r="A1" s="1" t="s">
        <v>0</v>
      </c>
      <c r="B1" s="1" t="s">
        <v>1</v>
      </c>
      <c r="C1" s="1" t="s">
        <v>39</v>
      </c>
      <c r="D1" s="1" t="s">
        <v>20</v>
      </c>
      <c r="E1" s="1" t="s">
        <v>40</v>
      </c>
      <c r="F1" s="1" t="s">
        <v>21</v>
      </c>
      <c r="G1" s="1" t="s">
        <v>49</v>
      </c>
      <c r="H1" s="1" t="s">
        <v>50</v>
      </c>
      <c r="I1" s="1" t="s">
        <v>25</v>
      </c>
      <c r="J1" s="1" t="s">
        <v>51</v>
      </c>
      <c r="K1" s="1" t="s">
        <v>23</v>
      </c>
      <c r="L1" s="1" t="s">
        <v>52</v>
      </c>
      <c r="M1" s="1" t="s">
        <v>53</v>
      </c>
      <c r="N1" s="1" t="s">
        <v>24</v>
      </c>
      <c r="O1" s="1" t="s">
        <v>54</v>
      </c>
      <c r="Q1" s="1"/>
    </row>
    <row r="2" spans="1:15" ht="12.75">
      <c r="A2" t="s">
        <v>2</v>
      </c>
      <c r="B2">
        <v>0</v>
      </c>
      <c r="C2">
        <v>1</v>
      </c>
      <c r="F2">
        <v>5</v>
      </c>
      <c r="I2">
        <v>10</v>
      </c>
      <c r="K2">
        <v>13.109</v>
      </c>
      <c r="N2">
        <v>20</v>
      </c>
      <c r="O2">
        <v>26.2188</v>
      </c>
    </row>
    <row r="3" spans="1:15" ht="12.75">
      <c r="A3" t="s">
        <v>2</v>
      </c>
      <c r="B3">
        <v>30</v>
      </c>
      <c r="C3">
        <v>1</v>
      </c>
      <c r="D3">
        <v>1</v>
      </c>
      <c r="E3">
        <v>1</v>
      </c>
      <c r="F3">
        <v>1</v>
      </c>
      <c r="G3">
        <v>1</v>
      </c>
      <c r="H3">
        <v>1</v>
      </c>
      <c r="I3">
        <v>1</v>
      </c>
      <c r="J3">
        <v>1</v>
      </c>
      <c r="K3">
        <v>1</v>
      </c>
      <c r="L3">
        <v>1</v>
      </c>
      <c r="M3">
        <v>1</v>
      </c>
      <c r="N3">
        <v>1</v>
      </c>
      <c r="O3">
        <v>1</v>
      </c>
    </row>
    <row r="4" spans="1:15" ht="12.75">
      <c r="A4" t="s">
        <v>2</v>
      </c>
      <c r="B4">
        <v>31</v>
      </c>
      <c r="C4">
        <v>0.9925</v>
      </c>
      <c r="D4">
        <v>0.9945</v>
      </c>
      <c r="E4">
        <v>0.9945</v>
      </c>
      <c r="F4">
        <v>0.9945</v>
      </c>
      <c r="G4">
        <v>0.9945</v>
      </c>
      <c r="H4">
        <v>0.9945</v>
      </c>
      <c r="I4">
        <v>0.9945</v>
      </c>
      <c r="J4">
        <v>0.9945</v>
      </c>
      <c r="K4">
        <v>0.9945</v>
      </c>
      <c r="L4">
        <v>0.9945</v>
      </c>
      <c r="M4">
        <v>0.9948</v>
      </c>
      <c r="N4">
        <v>0.9952304411512425</v>
      </c>
      <c r="O4">
        <v>0.9972</v>
      </c>
    </row>
    <row r="5" spans="1:15" ht="12.75">
      <c r="A5" t="s">
        <v>2</v>
      </c>
      <c r="B5">
        <v>32</v>
      </c>
      <c r="C5">
        <v>0.985</v>
      </c>
      <c r="D5">
        <v>0.989</v>
      </c>
      <c r="E5">
        <v>0.989</v>
      </c>
      <c r="F5">
        <v>0.989</v>
      </c>
      <c r="G5">
        <v>0.989</v>
      </c>
      <c r="H5">
        <v>0.989</v>
      </c>
      <c r="I5">
        <v>0.989</v>
      </c>
      <c r="J5">
        <v>0.989</v>
      </c>
      <c r="K5">
        <v>0.989</v>
      </c>
      <c r="L5">
        <v>0.989</v>
      </c>
      <c r="M5">
        <v>0.9897</v>
      </c>
      <c r="N5">
        <v>0.9905429472545164</v>
      </c>
      <c r="O5">
        <v>0.9944</v>
      </c>
    </row>
    <row r="6" spans="1:15" ht="12.75">
      <c r="A6" t="s">
        <v>2</v>
      </c>
      <c r="B6">
        <v>33</v>
      </c>
      <c r="C6">
        <v>0.9775</v>
      </c>
      <c r="D6">
        <v>0.9834</v>
      </c>
      <c r="E6">
        <v>0.9834</v>
      </c>
      <c r="F6">
        <v>0.9834</v>
      </c>
      <c r="G6">
        <v>0.9834</v>
      </c>
      <c r="H6">
        <v>0.9834</v>
      </c>
      <c r="I6">
        <v>0.9834</v>
      </c>
      <c r="J6">
        <v>0.9834</v>
      </c>
      <c r="K6">
        <v>0.9834</v>
      </c>
      <c r="L6">
        <v>0.9834</v>
      </c>
      <c r="M6">
        <v>0.9845</v>
      </c>
      <c r="N6">
        <v>0.9857554533577905</v>
      </c>
      <c r="O6">
        <v>0.9915</v>
      </c>
    </row>
    <row r="7" spans="1:15" ht="12.75">
      <c r="A7" t="s">
        <v>2</v>
      </c>
      <c r="B7">
        <v>34</v>
      </c>
      <c r="C7">
        <v>0.97</v>
      </c>
      <c r="D7">
        <v>0.9779</v>
      </c>
      <c r="E7">
        <v>0.9779</v>
      </c>
      <c r="F7">
        <v>0.9779</v>
      </c>
      <c r="G7">
        <v>0.9779</v>
      </c>
      <c r="H7">
        <v>0.9779</v>
      </c>
      <c r="I7">
        <v>0.9779</v>
      </c>
      <c r="J7">
        <v>0.9779</v>
      </c>
      <c r="K7">
        <v>0.9779</v>
      </c>
      <c r="L7">
        <v>0.9779</v>
      </c>
      <c r="M7">
        <v>0.9794</v>
      </c>
      <c r="N7">
        <v>0.9810679594610645</v>
      </c>
      <c r="O7">
        <v>0.9887</v>
      </c>
    </row>
    <row r="8" spans="1:15" ht="12.75">
      <c r="A8" t="s">
        <v>2</v>
      </c>
      <c r="B8">
        <v>35</v>
      </c>
      <c r="C8">
        <v>0.9625</v>
      </c>
      <c r="D8">
        <v>0.9724</v>
      </c>
      <c r="E8">
        <v>0.9724</v>
      </c>
      <c r="F8">
        <v>0.9724</v>
      </c>
      <c r="G8">
        <v>0.9724</v>
      </c>
      <c r="H8">
        <v>0.9724</v>
      </c>
      <c r="I8">
        <v>0.9724</v>
      </c>
      <c r="J8">
        <v>0.9724</v>
      </c>
      <c r="K8">
        <v>0.9724</v>
      </c>
      <c r="L8">
        <v>0.9724</v>
      </c>
      <c r="M8">
        <v>0.9742</v>
      </c>
      <c r="N8">
        <v>0.9762984006123068</v>
      </c>
      <c r="O8">
        <v>0.9859</v>
      </c>
    </row>
    <row r="9" spans="1:15" ht="12.75">
      <c r="A9" t="s">
        <v>2</v>
      </c>
      <c r="B9">
        <v>36</v>
      </c>
      <c r="C9">
        <v>0.9567</v>
      </c>
      <c r="D9">
        <v>0.9666</v>
      </c>
      <c r="E9">
        <v>0.9666</v>
      </c>
      <c r="F9">
        <v>0.9666</v>
      </c>
      <c r="G9">
        <v>0.9666</v>
      </c>
      <c r="H9">
        <v>0.9666</v>
      </c>
      <c r="I9">
        <v>0.9666</v>
      </c>
      <c r="J9">
        <v>0.9666</v>
      </c>
      <c r="K9">
        <v>0.9666</v>
      </c>
      <c r="L9">
        <v>0.9666</v>
      </c>
      <c r="M9">
        <v>0.9684</v>
      </c>
      <c r="N9">
        <v>0.9704804655643384</v>
      </c>
      <c r="O9">
        <v>0.98</v>
      </c>
    </row>
    <row r="10" spans="1:15" ht="12.75">
      <c r="A10" t="s">
        <v>2</v>
      </c>
      <c r="B10">
        <v>37</v>
      </c>
      <c r="C10">
        <v>0.9509</v>
      </c>
      <c r="D10">
        <v>0.9608</v>
      </c>
      <c r="E10">
        <v>0.9608</v>
      </c>
      <c r="F10">
        <v>0.9608</v>
      </c>
      <c r="G10">
        <v>0.9608</v>
      </c>
      <c r="H10">
        <v>0.9608</v>
      </c>
      <c r="I10">
        <v>0.9608</v>
      </c>
      <c r="J10">
        <v>0.9608</v>
      </c>
      <c r="K10">
        <v>0.9608</v>
      </c>
      <c r="L10">
        <v>0.9608</v>
      </c>
      <c r="M10">
        <v>0.9625</v>
      </c>
      <c r="N10">
        <v>0.9645804655643384</v>
      </c>
      <c r="O10">
        <v>0.9741</v>
      </c>
    </row>
    <row r="11" spans="1:15" ht="12.75">
      <c r="A11" t="s">
        <v>2</v>
      </c>
      <c r="B11">
        <v>38</v>
      </c>
      <c r="C11">
        <v>0.9451</v>
      </c>
      <c r="D11">
        <v>0.9549</v>
      </c>
      <c r="E11">
        <v>0.9549</v>
      </c>
      <c r="F11">
        <v>0.9549</v>
      </c>
      <c r="G11">
        <v>0.9549</v>
      </c>
      <c r="H11">
        <v>0.9549</v>
      </c>
      <c r="I11">
        <v>0.9549</v>
      </c>
      <c r="J11">
        <v>0.9549</v>
      </c>
      <c r="K11">
        <v>0.9549</v>
      </c>
      <c r="L11">
        <v>0.9549</v>
      </c>
      <c r="M11">
        <v>0.9566</v>
      </c>
      <c r="N11">
        <v>0.95866253051637</v>
      </c>
      <c r="O11">
        <v>0.9681</v>
      </c>
    </row>
    <row r="12" spans="1:15" ht="12.75">
      <c r="A12" t="s">
        <v>2</v>
      </c>
      <c r="B12">
        <v>39</v>
      </c>
      <c r="C12">
        <v>0.9392</v>
      </c>
      <c r="D12">
        <v>0.949</v>
      </c>
      <c r="E12">
        <v>0.949</v>
      </c>
      <c r="F12">
        <v>0.949</v>
      </c>
      <c r="G12">
        <v>0.949</v>
      </c>
      <c r="H12">
        <v>0.949</v>
      </c>
      <c r="I12">
        <v>0.949</v>
      </c>
      <c r="J12">
        <v>0.949</v>
      </c>
      <c r="K12">
        <v>0.949</v>
      </c>
      <c r="L12">
        <v>0.949</v>
      </c>
      <c r="M12">
        <v>0.9506</v>
      </c>
      <c r="N12">
        <v>0.95266253051637</v>
      </c>
      <c r="O12">
        <v>0.9621</v>
      </c>
    </row>
    <row r="13" spans="1:15" ht="12.75">
      <c r="A13" t="s">
        <v>2</v>
      </c>
      <c r="B13">
        <v>40</v>
      </c>
      <c r="C13">
        <v>0.9333</v>
      </c>
      <c r="D13">
        <v>0.943</v>
      </c>
      <c r="E13">
        <v>0.943</v>
      </c>
      <c r="F13">
        <v>0.943</v>
      </c>
      <c r="G13">
        <v>0.943</v>
      </c>
      <c r="H13">
        <v>0.943</v>
      </c>
      <c r="I13">
        <v>0.943</v>
      </c>
      <c r="J13">
        <v>0.943</v>
      </c>
      <c r="K13">
        <v>0.943</v>
      </c>
      <c r="L13">
        <v>0.943</v>
      </c>
      <c r="M13">
        <v>0.9446</v>
      </c>
      <c r="N13">
        <v>0.9466445954684015</v>
      </c>
      <c r="O13">
        <v>0.956</v>
      </c>
    </row>
    <row r="14" spans="1:15" ht="12.75">
      <c r="A14" t="s">
        <v>2</v>
      </c>
      <c r="B14">
        <v>41</v>
      </c>
      <c r="C14">
        <v>0.9274</v>
      </c>
      <c r="D14">
        <v>0.937</v>
      </c>
      <c r="E14">
        <v>0.937</v>
      </c>
      <c r="F14">
        <v>0.937</v>
      </c>
      <c r="G14">
        <v>0.937</v>
      </c>
      <c r="H14">
        <v>0.937</v>
      </c>
      <c r="I14">
        <v>0.937</v>
      </c>
      <c r="J14">
        <v>0.937</v>
      </c>
      <c r="K14">
        <v>0.937</v>
      </c>
      <c r="L14">
        <v>0.937</v>
      </c>
      <c r="M14">
        <v>0.9386</v>
      </c>
      <c r="N14">
        <v>0.9406445954684015</v>
      </c>
      <c r="O14">
        <v>0.95</v>
      </c>
    </row>
    <row r="15" spans="1:15" ht="12.75">
      <c r="A15" t="s">
        <v>2</v>
      </c>
      <c r="B15">
        <v>42</v>
      </c>
      <c r="C15">
        <v>0.9214</v>
      </c>
      <c r="D15">
        <v>0.931</v>
      </c>
      <c r="E15">
        <v>0.931</v>
      </c>
      <c r="F15">
        <v>0.931</v>
      </c>
      <c r="G15">
        <v>0.931</v>
      </c>
      <c r="H15">
        <v>0.931</v>
      </c>
      <c r="I15">
        <v>0.931</v>
      </c>
      <c r="J15">
        <v>0.931</v>
      </c>
      <c r="K15">
        <v>0.931</v>
      </c>
      <c r="L15">
        <v>0.931</v>
      </c>
      <c r="M15">
        <v>0.9326</v>
      </c>
      <c r="N15">
        <v>0.9346087253724646</v>
      </c>
      <c r="O15">
        <v>0.9438</v>
      </c>
    </row>
    <row r="16" spans="1:15" ht="12.75">
      <c r="A16" t="s">
        <v>2</v>
      </c>
      <c r="B16">
        <v>43</v>
      </c>
      <c r="C16">
        <v>0.9154</v>
      </c>
      <c r="D16">
        <v>0.9249</v>
      </c>
      <c r="E16">
        <v>0.9249</v>
      </c>
      <c r="F16">
        <v>0.9249</v>
      </c>
      <c r="G16">
        <v>0.9249</v>
      </c>
      <c r="H16">
        <v>0.9249</v>
      </c>
      <c r="I16">
        <v>0.9249</v>
      </c>
      <c r="J16">
        <v>0.9249</v>
      </c>
      <c r="K16">
        <v>0.9249</v>
      </c>
      <c r="L16">
        <v>0.9249</v>
      </c>
      <c r="M16">
        <v>0.9265</v>
      </c>
      <c r="N16">
        <v>0.9285087253724646</v>
      </c>
      <c r="O16">
        <v>0.9377</v>
      </c>
    </row>
    <row r="17" spans="1:15" ht="12.75">
      <c r="A17" t="s">
        <v>2</v>
      </c>
      <c r="B17">
        <v>44</v>
      </c>
      <c r="C17">
        <v>0.9093</v>
      </c>
      <c r="D17">
        <v>0.9187</v>
      </c>
      <c r="E17">
        <v>0.9187</v>
      </c>
      <c r="F17">
        <v>0.9187</v>
      </c>
      <c r="G17">
        <v>0.9187</v>
      </c>
      <c r="H17">
        <v>0.9187</v>
      </c>
      <c r="I17">
        <v>0.9187</v>
      </c>
      <c r="J17">
        <v>0.9187</v>
      </c>
      <c r="K17">
        <v>0.9187</v>
      </c>
      <c r="L17">
        <v>0.9187</v>
      </c>
      <c r="M17">
        <v>0.9203</v>
      </c>
      <c r="N17">
        <v>0.9222907903244962</v>
      </c>
      <c r="O17">
        <v>0.9314</v>
      </c>
    </row>
    <row r="18" spans="1:15" ht="12.75">
      <c r="A18" t="s">
        <v>2</v>
      </c>
      <c r="B18">
        <v>45</v>
      </c>
      <c r="C18">
        <v>0.9031</v>
      </c>
      <c r="D18">
        <v>0.9125</v>
      </c>
      <c r="E18">
        <v>0.9125</v>
      </c>
      <c r="F18">
        <v>0.9125</v>
      </c>
      <c r="G18">
        <v>0.9125</v>
      </c>
      <c r="H18">
        <v>0.9125</v>
      </c>
      <c r="I18">
        <v>0.9125</v>
      </c>
      <c r="J18">
        <v>0.9125</v>
      </c>
      <c r="K18">
        <v>0.9125</v>
      </c>
      <c r="L18">
        <v>0.9125</v>
      </c>
      <c r="M18">
        <v>0.9141</v>
      </c>
      <c r="N18">
        <v>0.9160728552765278</v>
      </c>
      <c r="O18">
        <v>0.9251</v>
      </c>
    </row>
    <row r="19" spans="1:15" ht="12.75">
      <c r="A19" t="s">
        <v>2</v>
      </c>
      <c r="B19">
        <v>46</v>
      </c>
      <c r="C19">
        <v>0.8971</v>
      </c>
      <c r="D19">
        <v>0.9064</v>
      </c>
      <c r="E19">
        <v>0.9064</v>
      </c>
      <c r="F19">
        <v>0.9064</v>
      </c>
      <c r="G19">
        <v>0.9064</v>
      </c>
      <c r="H19">
        <v>0.9064</v>
      </c>
      <c r="I19">
        <v>0.9064</v>
      </c>
      <c r="J19">
        <v>0.9064</v>
      </c>
      <c r="K19">
        <v>0.9064</v>
      </c>
      <c r="L19">
        <v>0.9064</v>
      </c>
      <c r="M19">
        <v>0.9081</v>
      </c>
      <c r="N19">
        <v>0.9100549202285594</v>
      </c>
      <c r="O19">
        <v>0.919</v>
      </c>
    </row>
    <row r="20" spans="1:15" ht="12.75">
      <c r="A20" t="s">
        <v>2</v>
      </c>
      <c r="B20">
        <v>47</v>
      </c>
      <c r="C20">
        <v>0.891</v>
      </c>
      <c r="D20">
        <v>0.9002</v>
      </c>
      <c r="E20">
        <v>0.9002</v>
      </c>
      <c r="F20">
        <v>0.9002</v>
      </c>
      <c r="G20">
        <v>0.9002</v>
      </c>
      <c r="H20">
        <v>0.9002</v>
      </c>
      <c r="I20">
        <v>0.9002</v>
      </c>
      <c r="J20">
        <v>0.9002</v>
      </c>
      <c r="K20">
        <v>0.9002</v>
      </c>
      <c r="L20">
        <v>0.9002</v>
      </c>
      <c r="M20">
        <v>0.9018</v>
      </c>
      <c r="N20">
        <v>0.9037549202285594</v>
      </c>
      <c r="O20">
        <v>0.9127</v>
      </c>
    </row>
    <row r="21" spans="1:15" ht="12.75">
      <c r="A21" t="s">
        <v>2</v>
      </c>
      <c r="B21">
        <v>48</v>
      </c>
      <c r="C21">
        <v>0.8846</v>
      </c>
      <c r="D21">
        <v>0.8938</v>
      </c>
      <c r="E21">
        <v>0.8938</v>
      </c>
      <c r="F21">
        <v>0.8938</v>
      </c>
      <c r="G21">
        <v>0.8938</v>
      </c>
      <c r="H21">
        <v>0.8938</v>
      </c>
      <c r="I21">
        <v>0.8938</v>
      </c>
      <c r="J21">
        <v>0.8938</v>
      </c>
      <c r="K21">
        <v>0.8938</v>
      </c>
      <c r="L21">
        <v>0.8938</v>
      </c>
      <c r="M21">
        <v>0.8954</v>
      </c>
      <c r="N21">
        <v>0.8973190501326225</v>
      </c>
      <c r="O21">
        <v>0.9061</v>
      </c>
    </row>
    <row r="22" spans="1:15" ht="12.75">
      <c r="A22" t="s">
        <v>2</v>
      </c>
      <c r="B22">
        <v>49</v>
      </c>
      <c r="C22">
        <v>0.8781</v>
      </c>
      <c r="D22">
        <v>0.8872</v>
      </c>
      <c r="E22">
        <v>0.8872</v>
      </c>
      <c r="F22">
        <v>0.8872</v>
      </c>
      <c r="G22">
        <v>0.8872</v>
      </c>
      <c r="H22">
        <v>0.8872</v>
      </c>
      <c r="I22">
        <v>0.8872</v>
      </c>
      <c r="J22">
        <v>0.8872</v>
      </c>
      <c r="K22">
        <v>0.8872</v>
      </c>
      <c r="L22">
        <v>0.8872</v>
      </c>
      <c r="M22">
        <v>0.8888</v>
      </c>
      <c r="N22">
        <v>0.8907190501326225</v>
      </c>
      <c r="O22">
        <v>0.8995</v>
      </c>
    </row>
    <row r="23" spans="1:15" ht="12.75">
      <c r="A23" t="s">
        <v>2</v>
      </c>
      <c r="B23">
        <v>50</v>
      </c>
      <c r="C23">
        <v>0.8714</v>
      </c>
      <c r="D23">
        <v>0.8804</v>
      </c>
      <c r="E23">
        <v>0.8804</v>
      </c>
      <c r="F23">
        <v>0.8804</v>
      </c>
      <c r="G23">
        <v>0.8804</v>
      </c>
      <c r="H23">
        <v>0.8804</v>
      </c>
      <c r="I23">
        <v>0.8804</v>
      </c>
      <c r="J23">
        <v>0.8804</v>
      </c>
      <c r="K23">
        <v>0.8804</v>
      </c>
      <c r="L23">
        <v>0.8804</v>
      </c>
      <c r="M23">
        <v>0.882</v>
      </c>
      <c r="N23">
        <v>0.8839011150846541</v>
      </c>
      <c r="O23">
        <v>0.8926</v>
      </c>
    </row>
    <row r="24" spans="1:15" ht="12.75">
      <c r="A24" t="s">
        <v>2</v>
      </c>
      <c r="B24">
        <v>51</v>
      </c>
      <c r="C24">
        <v>0.8646</v>
      </c>
      <c r="D24">
        <v>0.8735</v>
      </c>
      <c r="E24">
        <v>0.8735</v>
      </c>
      <c r="F24">
        <v>0.8735</v>
      </c>
      <c r="G24">
        <v>0.8735</v>
      </c>
      <c r="H24">
        <v>0.8735</v>
      </c>
      <c r="I24">
        <v>0.8735</v>
      </c>
      <c r="J24">
        <v>0.8735</v>
      </c>
      <c r="K24">
        <v>0.8735</v>
      </c>
      <c r="L24">
        <v>0.8735</v>
      </c>
      <c r="M24">
        <v>0.8751</v>
      </c>
      <c r="N24">
        <v>0.8769831800366856</v>
      </c>
      <c r="O24">
        <v>0.8856</v>
      </c>
    </row>
    <row r="25" spans="1:15" ht="12.75">
      <c r="A25" t="s">
        <v>2</v>
      </c>
      <c r="B25">
        <v>52</v>
      </c>
      <c r="C25">
        <v>0.8576</v>
      </c>
      <c r="D25">
        <v>0.8664</v>
      </c>
      <c r="E25">
        <v>0.8664</v>
      </c>
      <c r="F25">
        <v>0.8664</v>
      </c>
      <c r="G25">
        <v>0.8664</v>
      </c>
      <c r="H25">
        <v>0.8664</v>
      </c>
      <c r="I25">
        <v>0.8664</v>
      </c>
      <c r="J25">
        <v>0.8664</v>
      </c>
      <c r="K25">
        <v>0.8664</v>
      </c>
      <c r="L25">
        <v>0.8664</v>
      </c>
      <c r="M25">
        <v>0.868</v>
      </c>
      <c r="N25">
        <v>0.8698652449887172</v>
      </c>
      <c r="O25">
        <v>0.8784</v>
      </c>
    </row>
    <row r="26" spans="1:15" ht="12.75">
      <c r="A26" t="s">
        <v>2</v>
      </c>
      <c r="B26">
        <v>53</v>
      </c>
      <c r="C26">
        <v>0.8504</v>
      </c>
      <c r="D26">
        <v>0.8591</v>
      </c>
      <c r="E26">
        <v>0.8591</v>
      </c>
      <c r="F26">
        <v>0.8591</v>
      </c>
      <c r="G26">
        <v>0.8591</v>
      </c>
      <c r="H26">
        <v>0.8591</v>
      </c>
      <c r="I26">
        <v>0.8591</v>
      </c>
      <c r="J26">
        <v>0.8591</v>
      </c>
      <c r="K26">
        <v>0.8591</v>
      </c>
      <c r="L26">
        <v>0.8591</v>
      </c>
      <c r="M26">
        <v>0.8607</v>
      </c>
      <c r="N26">
        <v>0.8625473099407488</v>
      </c>
      <c r="O26">
        <v>0.871</v>
      </c>
    </row>
    <row r="27" spans="1:15" ht="12.75">
      <c r="A27" t="s">
        <v>2</v>
      </c>
      <c r="B27">
        <v>54</v>
      </c>
      <c r="C27">
        <v>0.843</v>
      </c>
      <c r="D27">
        <v>0.8517</v>
      </c>
      <c r="E27">
        <v>0.8517</v>
      </c>
      <c r="F27">
        <v>0.8517</v>
      </c>
      <c r="G27">
        <v>0.8517</v>
      </c>
      <c r="H27">
        <v>0.8517</v>
      </c>
      <c r="I27">
        <v>0.8517</v>
      </c>
      <c r="J27">
        <v>0.8517</v>
      </c>
      <c r="K27">
        <v>0.8517</v>
      </c>
      <c r="L27">
        <v>0.8517</v>
      </c>
      <c r="M27">
        <v>0.8532</v>
      </c>
      <c r="N27">
        <v>0.8550473099407487</v>
      </c>
      <c r="O27">
        <v>0.8635</v>
      </c>
    </row>
    <row r="28" spans="1:15" ht="12.75">
      <c r="A28" t="s">
        <v>2</v>
      </c>
      <c r="B28">
        <v>55</v>
      </c>
      <c r="C28">
        <v>0.8355</v>
      </c>
      <c r="D28">
        <v>0.8441</v>
      </c>
      <c r="E28">
        <v>0.8441</v>
      </c>
      <c r="F28">
        <v>0.8441</v>
      </c>
      <c r="G28">
        <v>0.8441</v>
      </c>
      <c r="H28">
        <v>0.8441</v>
      </c>
      <c r="I28">
        <v>0.8441</v>
      </c>
      <c r="J28">
        <v>0.8441</v>
      </c>
      <c r="K28">
        <v>0.8441</v>
      </c>
      <c r="L28">
        <v>0.8441</v>
      </c>
      <c r="M28">
        <v>0.8456</v>
      </c>
      <c r="N28">
        <v>0.8474293748927804</v>
      </c>
      <c r="O28">
        <v>0.8558</v>
      </c>
    </row>
    <row r="29" spans="1:15" ht="12.75">
      <c r="A29" t="s">
        <v>2</v>
      </c>
      <c r="B29">
        <v>56</v>
      </c>
      <c r="C29">
        <v>0.8276</v>
      </c>
      <c r="D29">
        <v>0.8362</v>
      </c>
      <c r="E29">
        <v>0.8362</v>
      </c>
      <c r="F29">
        <v>0.8362</v>
      </c>
      <c r="G29">
        <v>0.8362</v>
      </c>
      <c r="H29">
        <v>0.8362</v>
      </c>
      <c r="I29">
        <v>0.8362</v>
      </c>
      <c r="J29">
        <v>0.8362</v>
      </c>
      <c r="K29">
        <v>0.8362</v>
      </c>
      <c r="L29">
        <v>0.8362</v>
      </c>
      <c r="M29">
        <v>0.8377</v>
      </c>
      <c r="N29">
        <v>0.8395114398448119</v>
      </c>
      <c r="O29">
        <v>0.8478</v>
      </c>
    </row>
    <row r="30" spans="1:15" ht="12.75">
      <c r="A30" t="s">
        <v>2</v>
      </c>
      <c r="B30">
        <v>57</v>
      </c>
      <c r="C30">
        <v>0.8197</v>
      </c>
      <c r="D30">
        <v>0.8282</v>
      </c>
      <c r="E30">
        <v>0.8282</v>
      </c>
      <c r="F30">
        <v>0.8282</v>
      </c>
      <c r="G30">
        <v>0.8282</v>
      </c>
      <c r="H30">
        <v>0.8282</v>
      </c>
      <c r="I30">
        <v>0.8282</v>
      </c>
      <c r="J30">
        <v>0.8282</v>
      </c>
      <c r="K30">
        <v>0.8282</v>
      </c>
      <c r="L30">
        <v>0.8282</v>
      </c>
      <c r="M30">
        <v>0.8297</v>
      </c>
      <c r="N30">
        <v>0.8314935047968435</v>
      </c>
      <c r="O30">
        <v>0.8397</v>
      </c>
    </row>
    <row r="31" spans="1:15" ht="12.75">
      <c r="A31" t="s">
        <v>2</v>
      </c>
      <c r="B31">
        <v>58</v>
      </c>
      <c r="C31">
        <v>0.8117</v>
      </c>
      <c r="D31">
        <v>0.8201</v>
      </c>
      <c r="E31">
        <v>0.8201</v>
      </c>
      <c r="F31">
        <v>0.8201</v>
      </c>
      <c r="G31">
        <v>0.8201</v>
      </c>
      <c r="H31">
        <v>0.8201</v>
      </c>
      <c r="I31">
        <v>0.8201</v>
      </c>
      <c r="J31">
        <v>0.8201</v>
      </c>
      <c r="K31">
        <v>0.8201</v>
      </c>
      <c r="L31">
        <v>0.8201</v>
      </c>
      <c r="M31">
        <v>0.8216</v>
      </c>
      <c r="N31">
        <v>0.823375569748875</v>
      </c>
      <c r="O31">
        <v>0.8315</v>
      </c>
    </row>
    <row r="32" spans="1:15" ht="12.75">
      <c r="A32" t="s">
        <v>2</v>
      </c>
      <c r="B32">
        <v>59</v>
      </c>
      <c r="C32">
        <v>0.8037</v>
      </c>
      <c r="D32">
        <v>0.812</v>
      </c>
      <c r="E32">
        <v>0.812</v>
      </c>
      <c r="F32">
        <v>0.812</v>
      </c>
      <c r="G32">
        <v>0.812</v>
      </c>
      <c r="H32">
        <v>0.812</v>
      </c>
      <c r="I32">
        <v>0.812</v>
      </c>
      <c r="J32">
        <v>0.812</v>
      </c>
      <c r="K32">
        <v>0.812</v>
      </c>
      <c r="L32">
        <v>0.812</v>
      </c>
      <c r="M32">
        <v>0.8135</v>
      </c>
      <c r="N32">
        <v>0.8152576347009066</v>
      </c>
      <c r="O32">
        <v>0.8233</v>
      </c>
    </row>
    <row r="33" spans="1:15" ht="12.75">
      <c r="A33" t="s">
        <v>2</v>
      </c>
      <c r="B33">
        <v>60</v>
      </c>
      <c r="C33">
        <v>0.7956</v>
      </c>
      <c r="D33">
        <v>0.8038</v>
      </c>
      <c r="E33">
        <v>0.8038</v>
      </c>
      <c r="F33">
        <v>0.8038</v>
      </c>
      <c r="G33">
        <v>0.8038</v>
      </c>
      <c r="H33">
        <v>0.8038</v>
      </c>
      <c r="I33">
        <v>0.8038</v>
      </c>
      <c r="J33">
        <v>0.8038</v>
      </c>
      <c r="K33">
        <v>0.8038</v>
      </c>
      <c r="L33">
        <v>0.8038</v>
      </c>
      <c r="M33">
        <v>0.8053</v>
      </c>
      <c r="N33">
        <v>0.8070396996529382</v>
      </c>
      <c r="O33">
        <v>0.815</v>
      </c>
    </row>
    <row r="34" spans="1:15" ht="12.75">
      <c r="A34" t="s">
        <v>2</v>
      </c>
      <c r="B34">
        <v>61</v>
      </c>
      <c r="C34">
        <v>0.7875</v>
      </c>
      <c r="D34">
        <v>0.7956</v>
      </c>
      <c r="E34">
        <v>0.7956</v>
      </c>
      <c r="F34">
        <v>0.7956</v>
      </c>
      <c r="G34">
        <v>0.7956</v>
      </c>
      <c r="H34">
        <v>0.7956</v>
      </c>
      <c r="I34">
        <v>0.7956</v>
      </c>
      <c r="J34">
        <v>0.7956</v>
      </c>
      <c r="K34">
        <v>0.7956</v>
      </c>
      <c r="L34">
        <v>0.7956</v>
      </c>
      <c r="M34">
        <v>0.7971</v>
      </c>
      <c r="N34">
        <v>0.7988217646049698</v>
      </c>
      <c r="O34">
        <v>0.8067</v>
      </c>
    </row>
    <row r="35" spans="1:15" ht="12.75">
      <c r="A35" t="s">
        <v>2</v>
      </c>
      <c r="B35">
        <v>62</v>
      </c>
      <c r="C35">
        <v>0.7793</v>
      </c>
      <c r="D35">
        <v>0.7874</v>
      </c>
      <c r="E35">
        <v>0.7874</v>
      </c>
      <c r="F35">
        <v>0.7874</v>
      </c>
      <c r="G35">
        <v>0.7874</v>
      </c>
      <c r="H35">
        <v>0.7874</v>
      </c>
      <c r="I35">
        <v>0.7874</v>
      </c>
      <c r="J35">
        <v>0.7874</v>
      </c>
      <c r="K35">
        <v>0.7874</v>
      </c>
      <c r="L35">
        <v>0.7874</v>
      </c>
      <c r="M35">
        <v>0.7888</v>
      </c>
      <c r="N35">
        <v>0.7905038295570013</v>
      </c>
      <c r="O35">
        <v>0.7983</v>
      </c>
    </row>
    <row r="36" spans="1:15" ht="12.75">
      <c r="A36" t="s">
        <v>2</v>
      </c>
      <c r="B36">
        <v>63</v>
      </c>
      <c r="C36">
        <v>0.7711</v>
      </c>
      <c r="D36">
        <v>0.779</v>
      </c>
      <c r="E36">
        <v>0.779</v>
      </c>
      <c r="F36">
        <v>0.779</v>
      </c>
      <c r="G36">
        <v>0.779</v>
      </c>
      <c r="H36">
        <v>0.779</v>
      </c>
      <c r="I36">
        <v>0.779</v>
      </c>
      <c r="J36">
        <v>0.779</v>
      </c>
      <c r="K36">
        <v>0.779</v>
      </c>
      <c r="L36">
        <v>0.779</v>
      </c>
      <c r="M36">
        <v>0.7805</v>
      </c>
      <c r="N36">
        <v>0.7821858945090329</v>
      </c>
      <c r="O36">
        <v>0.7899</v>
      </c>
    </row>
    <row r="37" spans="1:15" ht="12.75">
      <c r="A37" t="s">
        <v>2</v>
      </c>
      <c r="B37">
        <v>64</v>
      </c>
      <c r="C37">
        <v>0.7628</v>
      </c>
      <c r="D37">
        <v>0.7706</v>
      </c>
      <c r="E37">
        <v>0.7706</v>
      </c>
      <c r="F37">
        <v>0.7706</v>
      </c>
      <c r="G37">
        <v>0.7706</v>
      </c>
      <c r="H37">
        <v>0.7706</v>
      </c>
      <c r="I37">
        <v>0.7706</v>
      </c>
      <c r="J37">
        <v>0.7706</v>
      </c>
      <c r="K37">
        <v>0.7706</v>
      </c>
      <c r="L37">
        <v>0.7706</v>
      </c>
      <c r="M37">
        <v>0.7721</v>
      </c>
      <c r="N37">
        <v>0.7737679594610645</v>
      </c>
      <c r="O37">
        <v>0.7814</v>
      </c>
    </row>
    <row r="38" spans="1:15" ht="12.75">
      <c r="A38" t="s">
        <v>2</v>
      </c>
      <c r="B38">
        <v>65</v>
      </c>
      <c r="C38">
        <v>0.7544</v>
      </c>
      <c r="D38">
        <v>0.7622</v>
      </c>
      <c r="E38">
        <v>0.7622</v>
      </c>
      <c r="F38">
        <v>0.7622</v>
      </c>
      <c r="G38">
        <v>0.7622</v>
      </c>
      <c r="H38">
        <v>0.7622</v>
      </c>
      <c r="I38">
        <v>0.7622</v>
      </c>
      <c r="J38">
        <v>0.7622</v>
      </c>
      <c r="K38">
        <v>0.7622</v>
      </c>
      <c r="L38">
        <v>0.7622</v>
      </c>
      <c r="M38">
        <v>0.7636</v>
      </c>
      <c r="N38">
        <v>0.765250024413096</v>
      </c>
      <c r="O38">
        <v>0.7728</v>
      </c>
    </row>
    <row r="39" spans="1:15" ht="12.75">
      <c r="A39" t="s">
        <v>2</v>
      </c>
      <c r="B39">
        <v>66</v>
      </c>
      <c r="C39">
        <v>0.746</v>
      </c>
      <c r="D39">
        <v>0.7537</v>
      </c>
      <c r="E39">
        <v>0.7537</v>
      </c>
      <c r="F39">
        <v>0.7537</v>
      </c>
      <c r="G39">
        <v>0.7537</v>
      </c>
      <c r="H39">
        <v>0.7537</v>
      </c>
      <c r="I39">
        <v>0.7537</v>
      </c>
      <c r="J39">
        <v>0.7537</v>
      </c>
      <c r="K39">
        <v>0.7537</v>
      </c>
      <c r="L39">
        <v>0.7537</v>
      </c>
      <c r="M39">
        <v>0.755</v>
      </c>
      <c r="N39">
        <v>0.7566320893651275</v>
      </c>
      <c r="O39">
        <v>0.7641</v>
      </c>
    </row>
    <row r="40" spans="1:15" ht="12.75">
      <c r="A40" t="s">
        <v>2</v>
      </c>
      <c r="B40">
        <v>67</v>
      </c>
      <c r="C40">
        <v>0.7375</v>
      </c>
      <c r="D40">
        <v>0.7451</v>
      </c>
      <c r="E40">
        <v>0.7451</v>
      </c>
      <c r="F40">
        <v>0.7451</v>
      </c>
      <c r="G40">
        <v>0.7451</v>
      </c>
      <c r="H40">
        <v>0.7451</v>
      </c>
      <c r="I40">
        <v>0.7451</v>
      </c>
      <c r="J40">
        <v>0.7451</v>
      </c>
      <c r="K40">
        <v>0.7451</v>
      </c>
      <c r="L40">
        <v>0.7451</v>
      </c>
      <c r="M40">
        <v>0.7464</v>
      </c>
      <c r="N40">
        <v>0.748014154317159</v>
      </c>
      <c r="O40">
        <v>0.7554</v>
      </c>
    </row>
    <row r="41" spans="1:15" ht="12.75">
      <c r="A41" t="s">
        <v>2</v>
      </c>
      <c r="B41">
        <v>68</v>
      </c>
      <c r="C41">
        <v>0.729</v>
      </c>
      <c r="D41">
        <v>0.7365</v>
      </c>
      <c r="E41">
        <v>0.7365</v>
      </c>
      <c r="F41">
        <v>0.7365</v>
      </c>
      <c r="G41">
        <v>0.7365</v>
      </c>
      <c r="H41">
        <v>0.7365</v>
      </c>
      <c r="I41">
        <v>0.7365</v>
      </c>
      <c r="J41">
        <v>0.7365</v>
      </c>
      <c r="K41">
        <v>0.7365</v>
      </c>
      <c r="L41">
        <v>0.7365</v>
      </c>
      <c r="M41">
        <v>0.7378</v>
      </c>
      <c r="N41">
        <v>0.7393962192691906</v>
      </c>
      <c r="O41">
        <v>0.7467</v>
      </c>
    </row>
    <row r="42" spans="1:15" ht="12.75">
      <c r="A42" t="s">
        <v>2</v>
      </c>
      <c r="B42">
        <v>69</v>
      </c>
      <c r="C42">
        <v>0.7205</v>
      </c>
      <c r="D42">
        <v>0.7279</v>
      </c>
      <c r="E42">
        <v>0.7279</v>
      </c>
      <c r="F42">
        <v>0.7279</v>
      </c>
      <c r="G42">
        <v>0.7279</v>
      </c>
      <c r="H42">
        <v>0.7279</v>
      </c>
      <c r="I42">
        <v>0.7279</v>
      </c>
      <c r="J42">
        <v>0.7279</v>
      </c>
      <c r="K42">
        <v>0.7279</v>
      </c>
      <c r="L42">
        <v>0.7279</v>
      </c>
      <c r="M42">
        <v>0.7292</v>
      </c>
      <c r="N42">
        <v>0.7307782842212222</v>
      </c>
      <c r="O42">
        <v>0.738</v>
      </c>
    </row>
    <row r="43" spans="1:15" ht="12.75">
      <c r="A43" t="s">
        <v>2</v>
      </c>
      <c r="B43">
        <v>70</v>
      </c>
      <c r="C43">
        <v>0.7119</v>
      </c>
      <c r="D43">
        <v>0.7192</v>
      </c>
      <c r="E43">
        <v>0.7192</v>
      </c>
      <c r="F43">
        <v>0.7192</v>
      </c>
      <c r="G43">
        <v>0.7192</v>
      </c>
      <c r="H43">
        <v>0.7192</v>
      </c>
      <c r="I43">
        <v>0.7192</v>
      </c>
      <c r="J43">
        <v>0.7192</v>
      </c>
      <c r="K43">
        <v>0.7192</v>
      </c>
      <c r="L43">
        <v>0.7192</v>
      </c>
      <c r="M43">
        <v>0.7205</v>
      </c>
      <c r="N43">
        <v>0.7220603491732538</v>
      </c>
      <c r="O43">
        <v>0.7292</v>
      </c>
    </row>
    <row r="44" spans="1:15" ht="12.75">
      <c r="A44" t="s">
        <v>3</v>
      </c>
      <c r="B44">
        <v>0</v>
      </c>
      <c r="C44">
        <v>0.025</v>
      </c>
      <c r="D44">
        <v>0.0868</v>
      </c>
      <c r="E44">
        <v>0.1434</v>
      </c>
      <c r="F44">
        <v>0.1434</v>
      </c>
      <c r="G44">
        <v>0.182</v>
      </c>
      <c r="H44">
        <v>0.2807</v>
      </c>
      <c r="I44">
        <v>0.3028</v>
      </c>
      <c r="J44">
        <v>0.3817</v>
      </c>
      <c r="K44">
        <v>0.404</v>
      </c>
      <c r="L44">
        <v>0.4842</v>
      </c>
      <c r="M44">
        <v>0.5883</v>
      </c>
      <c r="N44">
        <v>0.6351284102455826</v>
      </c>
      <c r="O44">
        <v>0.8494</v>
      </c>
    </row>
    <row r="45" spans="1:15" ht="12.75">
      <c r="A45" t="s">
        <v>3</v>
      </c>
      <c r="B45">
        <v>30</v>
      </c>
      <c r="C45">
        <v>1</v>
      </c>
      <c r="D45">
        <v>1</v>
      </c>
      <c r="E45">
        <v>1</v>
      </c>
      <c r="F45">
        <v>1</v>
      </c>
      <c r="G45">
        <v>1</v>
      </c>
      <c r="H45">
        <v>1</v>
      </c>
      <c r="I45">
        <v>1</v>
      </c>
      <c r="J45">
        <v>1</v>
      </c>
      <c r="K45">
        <v>1</v>
      </c>
      <c r="L45">
        <v>1</v>
      </c>
      <c r="M45">
        <v>1</v>
      </c>
      <c r="N45">
        <v>1</v>
      </c>
      <c r="O45">
        <v>1</v>
      </c>
    </row>
    <row r="46" spans="1:15" ht="12.75">
      <c r="A46" t="s">
        <v>3</v>
      </c>
      <c r="B46">
        <v>31</v>
      </c>
      <c r="C46">
        <v>0.9925</v>
      </c>
      <c r="D46">
        <v>0.9945</v>
      </c>
      <c r="E46">
        <v>0.9945</v>
      </c>
      <c r="F46">
        <v>0.9945</v>
      </c>
      <c r="G46">
        <v>0.9945</v>
      </c>
      <c r="H46">
        <v>0.9945</v>
      </c>
      <c r="I46">
        <v>0.9945</v>
      </c>
      <c r="J46">
        <v>0.9945</v>
      </c>
      <c r="K46">
        <v>0.9945</v>
      </c>
      <c r="L46">
        <v>0.9945</v>
      </c>
      <c r="M46">
        <v>0.9948</v>
      </c>
      <c r="N46">
        <v>0.9952304411512425</v>
      </c>
      <c r="O46">
        <v>0.9972</v>
      </c>
    </row>
    <row r="47" spans="1:15" ht="12.75">
      <c r="A47" t="s">
        <v>3</v>
      </c>
      <c r="B47">
        <v>32</v>
      </c>
      <c r="C47">
        <v>0.985</v>
      </c>
      <c r="D47">
        <v>0.989</v>
      </c>
      <c r="E47">
        <v>0.989</v>
      </c>
      <c r="F47">
        <v>0.989</v>
      </c>
      <c r="G47">
        <v>0.989</v>
      </c>
      <c r="H47">
        <v>0.989</v>
      </c>
      <c r="I47">
        <v>0.989</v>
      </c>
      <c r="J47">
        <v>0.989</v>
      </c>
      <c r="K47">
        <v>0.989</v>
      </c>
      <c r="L47">
        <v>0.989</v>
      </c>
      <c r="M47">
        <v>0.9897</v>
      </c>
      <c r="N47">
        <v>0.9905429472545164</v>
      </c>
      <c r="O47">
        <v>0.9944</v>
      </c>
    </row>
    <row r="48" spans="1:15" ht="12.75">
      <c r="A48" t="s">
        <v>3</v>
      </c>
      <c r="B48">
        <v>33</v>
      </c>
      <c r="C48">
        <v>0.9775</v>
      </c>
      <c r="D48">
        <v>0.9834</v>
      </c>
      <c r="E48">
        <v>0.9834</v>
      </c>
      <c r="F48">
        <v>0.9834</v>
      </c>
      <c r="G48">
        <v>0.9834</v>
      </c>
      <c r="H48">
        <v>0.9834</v>
      </c>
      <c r="I48">
        <v>0.9834</v>
      </c>
      <c r="J48">
        <v>0.9834</v>
      </c>
      <c r="K48">
        <v>0.9834</v>
      </c>
      <c r="L48">
        <v>0.9834</v>
      </c>
      <c r="M48">
        <v>0.9845</v>
      </c>
      <c r="N48">
        <v>0.9857554533577905</v>
      </c>
      <c r="O48">
        <v>0.9915</v>
      </c>
    </row>
    <row r="49" spans="1:15" ht="12.75">
      <c r="A49" t="s">
        <v>3</v>
      </c>
      <c r="B49">
        <v>34</v>
      </c>
      <c r="C49">
        <v>0.97</v>
      </c>
      <c r="D49">
        <v>0.9779</v>
      </c>
      <c r="E49">
        <v>0.9779</v>
      </c>
      <c r="F49">
        <v>0.9779</v>
      </c>
      <c r="G49">
        <v>0.9779</v>
      </c>
      <c r="H49">
        <v>0.9779</v>
      </c>
      <c r="I49">
        <v>0.9779</v>
      </c>
      <c r="J49">
        <v>0.9779</v>
      </c>
      <c r="K49">
        <v>0.9779</v>
      </c>
      <c r="L49">
        <v>0.9779</v>
      </c>
      <c r="M49">
        <v>0.9794</v>
      </c>
      <c r="N49">
        <v>0.9810679594610645</v>
      </c>
      <c r="O49">
        <v>0.9887</v>
      </c>
    </row>
    <row r="50" spans="1:15" ht="12.75">
      <c r="A50" t="s">
        <v>3</v>
      </c>
      <c r="B50">
        <v>35</v>
      </c>
      <c r="C50">
        <v>0.9587</v>
      </c>
      <c r="D50">
        <v>0.9696</v>
      </c>
      <c r="E50">
        <v>0.9696</v>
      </c>
      <c r="F50">
        <v>0.9696</v>
      </c>
      <c r="G50">
        <v>0.9696</v>
      </c>
      <c r="H50">
        <v>0.9696</v>
      </c>
      <c r="I50">
        <v>0.9696</v>
      </c>
      <c r="J50">
        <v>0.9696</v>
      </c>
      <c r="K50">
        <v>0.9696</v>
      </c>
      <c r="L50">
        <v>0.9696</v>
      </c>
      <c r="M50">
        <v>0.9716</v>
      </c>
      <c r="N50">
        <v>0.9739136211879281</v>
      </c>
      <c r="O50">
        <v>0.9845</v>
      </c>
    </row>
    <row r="51" spans="1:15" ht="12.75">
      <c r="A51" t="s">
        <v>3</v>
      </c>
      <c r="B51">
        <v>36</v>
      </c>
      <c r="C51">
        <v>0.9524</v>
      </c>
      <c r="D51">
        <v>0.9633</v>
      </c>
      <c r="E51">
        <v>0.9633</v>
      </c>
      <c r="F51">
        <v>0.9633</v>
      </c>
      <c r="G51">
        <v>0.9633</v>
      </c>
      <c r="H51">
        <v>0.9633</v>
      </c>
      <c r="I51">
        <v>0.9633</v>
      </c>
      <c r="J51">
        <v>0.9633</v>
      </c>
      <c r="K51">
        <v>0.9633</v>
      </c>
      <c r="L51">
        <v>0.9633</v>
      </c>
      <c r="M51">
        <v>0.9652</v>
      </c>
      <c r="N51">
        <v>0.9674956861399596</v>
      </c>
      <c r="O51">
        <v>0.978</v>
      </c>
    </row>
    <row r="52" spans="1:15" ht="12.75">
      <c r="A52" t="s">
        <v>3</v>
      </c>
      <c r="B52">
        <v>37</v>
      </c>
      <c r="C52">
        <v>0.946</v>
      </c>
      <c r="D52">
        <v>0.9568</v>
      </c>
      <c r="E52">
        <v>0.9568</v>
      </c>
      <c r="F52">
        <v>0.9568</v>
      </c>
      <c r="G52">
        <v>0.9568</v>
      </c>
      <c r="H52">
        <v>0.9568</v>
      </c>
      <c r="I52">
        <v>0.9568</v>
      </c>
      <c r="J52">
        <v>0.9568</v>
      </c>
      <c r="K52">
        <v>0.9568</v>
      </c>
      <c r="L52">
        <v>0.9568</v>
      </c>
      <c r="M52">
        <v>0.9587</v>
      </c>
      <c r="N52">
        <v>0.9609956861399597</v>
      </c>
      <c r="O52">
        <v>0.9715</v>
      </c>
    </row>
    <row r="53" spans="1:15" ht="12.75">
      <c r="A53" t="s">
        <v>3</v>
      </c>
      <c r="B53">
        <v>38</v>
      </c>
      <c r="C53">
        <v>0.9396</v>
      </c>
      <c r="D53">
        <v>0.9504</v>
      </c>
      <c r="E53">
        <v>0.9504</v>
      </c>
      <c r="F53">
        <v>0.9504</v>
      </c>
      <c r="G53">
        <v>0.9504</v>
      </c>
      <c r="H53">
        <v>0.9504</v>
      </c>
      <c r="I53">
        <v>0.9504</v>
      </c>
      <c r="J53">
        <v>0.9504</v>
      </c>
      <c r="K53">
        <v>0.9504</v>
      </c>
      <c r="L53">
        <v>0.9504</v>
      </c>
      <c r="M53">
        <v>0.9522</v>
      </c>
      <c r="N53">
        <v>0.9544777510919912</v>
      </c>
      <c r="O53">
        <v>0.9649</v>
      </c>
    </row>
    <row r="54" spans="1:15" ht="12.75">
      <c r="A54" t="s">
        <v>3</v>
      </c>
      <c r="B54">
        <v>39</v>
      </c>
      <c r="C54">
        <v>0.9331</v>
      </c>
      <c r="D54">
        <v>0.9439</v>
      </c>
      <c r="E54">
        <v>0.9439</v>
      </c>
      <c r="F54">
        <v>0.9439</v>
      </c>
      <c r="G54">
        <v>0.9439</v>
      </c>
      <c r="H54">
        <v>0.9439</v>
      </c>
      <c r="I54">
        <v>0.9439</v>
      </c>
      <c r="J54">
        <v>0.9439</v>
      </c>
      <c r="K54">
        <v>0.9439</v>
      </c>
      <c r="L54">
        <v>0.9439</v>
      </c>
      <c r="M54">
        <v>0.9457</v>
      </c>
      <c r="N54">
        <v>0.9479598160440228</v>
      </c>
      <c r="O54">
        <v>0.9583</v>
      </c>
    </row>
    <row r="55" spans="1:15" ht="12.75">
      <c r="A55" t="s">
        <v>3</v>
      </c>
      <c r="B55">
        <v>40</v>
      </c>
      <c r="C55">
        <v>0.9266</v>
      </c>
      <c r="D55">
        <v>0.9373</v>
      </c>
      <c r="E55">
        <v>0.9373</v>
      </c>
      <c r="F55">
        <v>0.9373</v>
      </c>
      <c r="G55">
        <v>0.9373</v>
      </c>
      <c r="H55">
        <v>0.9373</v>
      </c>
      <c r="I55">
        <v>0.9373</v>
      </c>
      <c r="J55">
        <v>0.9373</v>
      </c>
      <c r="K55">
        <v>0.9373</v>
      </c>
      <c r="L55">
        <v>0.9373</v>
      </c>
      <c r="M55">
        <v>0.9391</v>
      </c>
      <c r="N55">
        <v>0.9413418809960543</v>
      </c>
      <c r="O55">
        <v>0.9516</v>
      </c>
    </row>
    <row r="56" spans="1:15" ht="12.75">
      <c r="A56" t="s">
        <v>3</v>
      </c>
      <c r="B56">
        <v>41</v>
      </c>
      <c r="C56">
        <v>0.9201</v>
      </c>
      <c r="D56">
        <v>0.9307</v>
      </c>
      <c r="E56">
        <v>0.9307</v>
      </c>
      <c r="F56">
        <v>0.9307</v>
      </c>
      <c r="G56">
        <v>0.9307</v>
      </c>
      <c r="H56">
        <v>0.9307</v>
      </c>
      <c r="I56">
        <v>0.9307</v>
      </c>
      <c r="J56">
        <v>0.9307</v>
      </c>
      <c r="K56">
        <v>0.9307</v>
      </c>
      <c r="L56">
        <v>0.9307</v>
      </c>
      <c r="M56">
        <v>0.9325</v>
      </c>
      <c r="N56">
        <v>0.9347418809960543</v>
      </c>
      <c r="O56">
        <v>0.945</v>
      </c>
    </row>
    <row r="57" spans="1:15" ht="12.75">
      <c r="A57" t="s">
        <v>3</v>
      </c>
      <c r="B57">
        <v>42</v>
      </c>
      <c r="C57">
        <v>0.9135</v>
      </c>
      <c r="D57">
        <v>0.9241</v>
      </c>
      <c r="E57">
        <v>0.9241</v>
      </c>
      <c r="F57">
        <v>0.9241</v>
      </c>
      <c r="G57">
        <v>0.9241</v>
      </c>
      <c r="H57">
        <v>0.9241</v>
      </c>
      <c r="I57">
        <v>0.9241</v>
      </c>
      <c r="J57">
        <v>0.9241</v>
      </c>
      <c r="K57">
        <v>0.9241</v>
      </c>
      <c r="L57">
        <v>0.9241</v>
      </c>
      <c r="M57">
        <v>0.9259</v>
      </c>
      <c r="N57">
        <v>0.9281060109001175</v>
      </c>
      <c r="O57">
        <v>0.9382</v>
      </c>
    </row>
    <row r="58" spans="1:15" ht="12.75">
      <c r="A58" t="s">
        <v>3</v>
      </c>
      <c r="B58">
        <v>43</v>
      </c>
      <c r="C58">
        <v>0.9069</v>
      </c>
      <c r="D58">
        <v>0.9174</v>
      </c>
      <c r="E58">
        <v>0.9174</v>
      </c>
      <c r="F58">
        <v>0.9174</v>
      </c>
      <c r="G58">
        <v>0.9174</v>
      </c>
      <c r="H58">
        <v>0.9174</v>
      </c>
      <c r="I58">
        <v>0.9174</v>
      </c>
      <c r="J58">
        <v>0.9174</v>
      </c>
      <c r="K58">
        <v>0.9174</v>
      </c>
      <c r="L58">
        <v>0.9174</v>
      </c>
      <c r="M58">
        <v>0.9192</v>
      </c>
      <c r="N58">
        <v>0.921388075852149</v>
      </c>
      <c r="O58">
        <v>0.9314</v>
      </c>
    </row>
    <row r="59" spans="1:15" ht="12.75">
      <c r="A59" t="s">
        <v>3</v>
      </c>
      <c r="B59">
        <v>44</v>
      </c>
      <c r="C59">
        <v>0.9002</v>
      </c>
      <c r="D59">
        <v>0.9106</v>
      </c>
      <c r="E59">
        <v>0.9106</v>
      </c>
      <c r="F59">
        <v>0.9106</v>
      </c>
      <c r="G59">
        <v>0.9106</v>
      </c>
      <c r="H59">
        <v>0.9106</v>
      </c>
      <c r="I59">
        <v>0.9106</v>
      </c>
      <c r="J59">
        <v>0.9106</v>
      </c>
      <c r="K59">
        <v>0.9106</v>
      </c>
      <c r="L59">
        <v>0.9106</v>
      </c>
      <c r="M59">
        <v>0.9124</v>
      </c>
      <c r="N59">
        <v>0.9145701408041805</v>
      </c>
      <c r="O59">
        <v>0.9245</v>
      </c>
    </row>
    <row r="60" spans="1:15" ht="12.75">
      <c r="A60" t="s">
        <v>3</v>
      </c>
      <c r="B60">
        <v>45</v>
      </c>
      <c r="C60">
        <v>0.8934</v>
      </c>
      <c r="D60">
        <v>0.9037</v>
      </c>
      <c r="E60">
        <v>0.9037</v>
      </c>
      <c r="F60">
        <v>0.9037</v>
      </c>
      <c r="G60">
        <v>0.9037</v>
      </c>
      <c r="H60">
        <v>0.9037</v>
      </c>
      <c r="I60">
        <v>0.9037</v>
      </c>
      <c r="J60">
        <v>0.9037</v>
      </c>
      <c r="K60">
        <v>0.9037</v>
      </c>
      <c r="L60">
        <v>0.9037</v>
      </c>
      <c r="M60">
        <v>0.9055</v>
      </c>
      <c r="N60">
        <v>0.9076701408041805</v>
      </c>
      <c r="O60">
        <v>0.9176</v>
      </c>
    </row>
    <row r="61" spans="1:15" ht="12.75">
      <c r="A61" t="s">
        <v>3</v>
      </c>
      <c r="B61">
        <v>46</v>
      </c>
      <c r="C61">
        <v>0.8868</v>
      </c>
      <c r="D61">
        <v>0.897</v>
      </c>
      <c r="E61">
        <v>0.897</v>
      </c>
      <c r="F61">
        <v>0.897</v>
      </c>
      <c r="G61">
        <v>0.897</v>
      </c>
      <c r="H61">
        <v>0.897</v>
      </c>
      <c r="I61">
        <v>0.897</v>
      </c>
      <c r="J61">
        <v>0.897</v>
      </c>
      <c r="K61">
        <v>0.897</v>
      </c>
      <c r="L61">
        <v>0.897</v>
      </c>
      <c r="M61">
        <v>0.8989</v>
      </c>
      <c r="N61">
        <v>0.9010522057562121</v>
      </c>
      <c r="O61">
        <v>0.9109</v>
      </c>
    </row>
    <row r="62" spans="1:15" ht="12.75">
      <c r="A62" t="s">
        <v>3</v>
      </c>
      <c r="B62">
        <v>47</v>
      </c>
      <c r="C62">
        <v>0.88</v>
      </c>
      <c r="D62">
        <v>0.8902</v>
      </c>
      <c r="E62">
        <v>0.8902</v>
      </c>
      <c r="F62">
        <v>0.8902</v>
      </c>
      <c r="G62">
        <v>0.8902</v>
      </c>
      <c r="H62">
        <v>0.8902</v>
      </c>
      <c r="I62">
        <v>0.8902</v>
      </c>
      <c r="J62">
        <v>0.8902</v>
      </c>
      <c r="K62">
        <v>0.8902</v>
      </c>
      <c r="L62">
        <v>0.8902</v>
      </c>
      <c r="M62">
        <v>0.892</v>
      </c>
      <c r="N62">
        <v>0.8941342707082437</v>
      </c>
      <c r="O62">
        <v>0.9039</v>
      </c>
    </row>
    <row r="63" spans="1:15" ht="12.75">
      <c r="A63" t="s">
        <v>3</v>
      </c>
      <c r="B63">
        <v>48</v>
      </c>
      <c r="C63">
        <v>0.8731</v>
      </c>
      <c r="D63">
        <v>0.8831</v>
      </c>
      <c r="E63">
        <v>0.8831</v>
      </c>
      <c r="F63">
        <v>0.8831</v>
      </c>
      <c r="G63">
        <v>0.8831</v>
      </c>
      <c r="H63">
        <v>0.8831</v>
      </c>
      <c r="I63">
        <v>0.8831</v>
      </c>
      <c r="J63">
        <v>0.8831</v>
      </c>
      <c r="K63">
        <v>0.8831</v>
      </c>
      <c r="L63">
        <v>0.8831</v>
      </c>
      <c r="M63">
        <v>0.8849</v>
      </c>
      <c r="N63">
        <v>0.8870342707082437</v>
      </c>
      <c r="O63">
        <v>0.8968</v>
      </c>
    </row>
    <row r="64" spans="1:15" ht="12.75">
      <c r="A64" t="s">
        <v>3</v>
      </c>
      <c r="B64">
        <v>49</v>
      </c>
      <c r="C64">
        <v>0.8659</v>
      </c>
      <c r="D64">
        <v>0.8759</v>
      </c>
      <c r="E64">
        <v>0.8759</v>
      </c>
      <c r="F64">
        <v>0.8759</v>
      </c>
      <c r="G64">
        <v>0.8759</v>
      </c>
      <c r="H64">
        <v>0.8759</v>
      </c>
      <c r="I64">
        <v>0.8759</v>
      </c>
      <c r="J64">
        <v>0.8759</v>
      </c>
      <c r="K64">
        <v>0.8759</v>
      </c>
      <c r="L64">
        <v>0.8759</v>
      </c>
      <c r="M64">
        <v>0.8777</v>
      </c>
      <c r="N64">
        <v>0.8797984006123069</v>
      </c>
      <c r="O64">
        <v>0.8894</v>
      </c>
    </row>
    <row r="65" spans="1:15" ht="12.75">
      <c r="A65" t="s">
        <v>3</v>
      </c>
      <c r="B65">
        <v>50</v>
      </c>
      <c r="C65">
        <v>0.8585</v>
      </c>
      <c r="D65">
        <v>0.8684</v>
      </c>
      <c r="E65">
        <v>0.8684</v>
      </c>
      <c r="F65">
        <v>0.8684</v>
      </c>
      <c r="G65">
        <v>0.8684</v>
      </c>
      <c r="H65">
        <v>0.8684</v>
      </c>
      <c r="I65">
        <v>0.8684</v>
      </c>
      <c r="J65">
        <v>0.8684</v>
      </c>
      <c r="K65">
        <v>0.8684</v>
      </c>
      <c r="L65">
        <v>0.8684</v>
      </c>
      <c r="M65">
        <v>0.8702</v>
      </c>
      <c r="N65">
        <v>0.8722984006123068</v>
      </c>
      <c r="O65">
        <v>0.8819</v>
      </c>
    </row>
    <row r="66" spans="1:15" ht="12.75">
      <c r="A66" t="s">
        <v>3</v>
      </c>
      <c r="B66">
        <v>51</v>
      </c>
      <c r="C66">
        <v>0.851</v>
      </c>
      <c r="D66">
        <v>0.8608</v>
      </c>
      <c r="E66">
        <v>0.8608</v>
      </c>
      <c r="F66">
        <v>0.8608</v>
      </c>
      <c r="G66">
        <v>0.8608</v>
      </c>
      <c r="H66">
        <v>0.8608</v>
      </c>
      <c r="I66">
        <v>0.8608</v>
      </c>
      <c r="J66">
        <v>0.8608</v>
      </c>
      <c r="K66">
        <v>0.8608</v>
      </c>
      <c r="L66">
        <v>0.8608</v>
      </c>
      <c r="M66">
        <v>0.8626</v>
      </c>
      <c r="N66">
        <v>0.8646804655643384</v>
      </c>
      <c r="O66">
        <v>0.8742</v>
      </c>
    </row>
    <row r="67" spans="1:15" ht="12.75">
      <c r="A67" t="s">
        <v>3</v>
      </c>
      <c r="B67">
        <v>52</v>
      </c>
      <c r="C67">
        <v>0.8433</v>
      </c>
      <c r="D67">
        <v>0.853</v>
      </c>
      <c r="E67">
        <v>0.853</v>
      </c>
      <c r="F67">
        <v>0.853</v>
      </c>
      <c r="G67">
        <v>0.853</v>
      </c>
      <c r="H67">
        <v>0.853</v>
      </c>
      <c r="I67">
        <v>0.853</v>
      </c>
      <c r="J67">
        <v>0.853</v>
      </c>
      <c r="K67">
        <v>0.853</v>
      </c>
      <c r="L67">
        <v>0.853</v>
      </c>
      <c r="M67">
        <v>0.8548</v>
      </c>
      <c r="N67">
        <v>0.85686253051637</v>
      </c>
      <c r="O67">
        <v>0.8663</v>
      </c>
    </row>
    <row r="68" spans="1:15" ht="12.75">
      <c r="A68" t="s">
        <v>3</v>
      </c>
      <c r="B68">
        <v>53</v>
      </c>
      <c r="C68">
        <v>0.8354</v>
      </c>
      <c r="D68">
        <v>0.845</v>
      </c>
      <c r="E68">
        <v>0.845</v>
      </c>
      <c r="F68">
        <v>0.845</v>
      </c>
      <c r="G68">
        <v>0.845</v>
      </c>
      <c r="H68">
        <v>0.845</v>
      </c>
      <c r="I68">
        <v>0.845</v>
      </c>
      <c r="J68">
        <v>0.845</v>
      </c>
      <c r="K68">
        <v>0.845</v>
      </c>
      <c r="L68">
        <v>0.845</v>
      </c>
      <c r="M68">
        <v>0.8468</v>
      </c>
      <c r="N68">
        <v>0.8488445954684015</v>
      </c>
      <c r="O68">
        <v>0.8582</v>
      </c>
    </row>
    <row r="69" spans="1:15" ht="12.75">
      <c r="A69" t="s">
        <v>3</v>
      </c>
      <c r="B69">
        <v>54</v>
      </c>
      <c r="C69">
        <v>0.8273</v>
      </c>
      <c r="D69">
        <v>0.8369</v>
      </c>
      <c r="E69">
        <v>0.8369</v>
      </c>
      <c r="F69">
        <v>0.8369</v>
      </c>
      <c r="G69">
        <v>0.8369</v>
      </c>
      <c r="H69">
        <v>0.8369</v>
      </c>
      <c r="I69">
        <v>0.8369</v>
      </c>
      <c r="J69">
        <v>0.8369</v>
      </c>
      <c r="K69">
        <v>0.8369</v>
      </c>
      <c r="L69">
        <v>0.8369</v>
      </c>
      <c r="M69">
        <v>0.8386</v>
      </c>
      <c r="N69">
        <v>0.8406266604204331</v>
      </c>
      <c r="O69">
        <v>0.8499</v>
      </c>
    </row>
    <row r="70" spans="1:15" ht="12.75">
      <c r="A70" t="s">
        <v>3</v>
      </c>
      <c r="B70">
        <v>55</v>
      </c>
      <c r="C70">
        <v>0.819</v>
      </c>
      <c r="D70">
        <v>0.8285</v>
      </c>
      <c r="E70">
        <v>0.8285</v>
      </c>
      <c r="F70">
        <v>0.8285</v>
      </c>
      <c r="G70">
        <v>0.8285</v>
      </c>
      <c r="H70">
        <v>0.8285</v>
      </c>
      <c r="I70">
        <v>0.8285</v>
      </c>
      <c r="J70">
        <v>0.8285</v>
      </c>
      <c r="K70">
        <v>0.8285</v>
      </c>
      <c r="L70">
        <v>0.8285</v>
      </c>
      <c r="M70">
        <v>0.8302</v>
      </c>
      <c r="N70">
        <v>0.8322087253724647</v>
      </c>
      <c r="O70">
        <v>0.8414</v>
      </c>
    </row>
    <row r="71" spans="1:15" ht="12.75">
      <c r="A71" t="s">
        <v>3</v>
      </c>
      <c r="B71">
        <v>56</v>
      </c>
      <c r="C71">
        <v>0.8104</v>
      </c>
      <c r="D71">
        <v>0.8198</v>
      </c>
      <c r="E71">
        <v>0.8198</v>
      </c>
      <c r="F71">
        <v>0.8198</v>
      </c>
      <c r="G71">
        <v>0.8198</v>
      </c>
      <c r="H71">
        <v>0.8198</v>
      </c>
      <c r="I71">
        <v>0.8198</v>
      </c>
      <c r="J71">
        <v>0.8198</v>
      </c>
      <c r="K71">
        <v>0.8198</v>
      </c>
      <c r="L71">
        <v>0.8198</v>
      </c>
      <c r="M71">
        <v>0.8215</v>
      </c>
      <c r="N71">
        <v>0.8234907903244962</v>
      </c>
      <c r="O71">
        <v>0.8326</v>
      </c>
    </row>
    <row r="72" spans="1:15" ht="12.75">
      <c r="A72" t="s">
        <v>3</v>
      </c>
      <c r="B72">
        <v>57</v>
      </c>
      <c r="C72">
        <v>0.8017</v>
      </c>
      <c r="D72">
        <v>0.811</v>
      </c>
      <c r="E72">
        <v>0.811</v>
      </c>
      <c r="F72">
        <v>0.811</v>
      </c>
      <c r="G72">
        <v>0.811</v>
      </c>
      <c r="H72">
        <v>0.811</v>
      </c>
      <c r="I72">
        <v>0.811</v>
      </c>
      <c r="J72">
        <v>0.811</v>
      </c>
      <c r="K72">
        <v>0.811</v>
      </c>
      <c r="L72">
        <v>0.811</v>
      </c>
      <c r="M72">
        <v>0.8126</v>
      </c>
      <c r="N72">
        <v>0.8145907903244962</v>
      </c>
      <c r="O72">
        <v>0.8237</v>
      </c>
    </row>
    <row r="73" spans="1:15" ht="12.75">
      <c r="A73" t="s">
        <v>3</v>
      </c>
      <c r="B73">
        <v>58</v>
      </c>
      <c r="C73">
        <v>0.7929</v>
      </c>
      <c r="D73">
        <v>0.8021</v>
      </c>
      <c r="E73">
        <v>0.8021</v>
      </c>
      <c r="F73">
        <v>0.8021</v>
      </c>
      <c r="G73">
        <v>0.8021</v>
      </c>
      <c r="H73">
        <v>0.8021</v>
      </c>
      <c r="I73">
        <v>0.8021</v>
      </c>
      <c r="J73">
        <v>0.8021</v>
      </c>
      <c r="K73">
        <v>0.8021</v>
      </c>
      <c r="L73">
        <v>0.8021</v>
      </c>
      <c r="M73">
        <v>0.8038</v>
      </c>
      <c r="N73">
        <v>0.8057549202285593</v>
      </c>
      <c r="O73">
        <v>0.8147</v>
      </c>
    </row>
    <row r="74" spans="1:15" ht="12.75">
      <c r="A74" t="s">
        <v>3</v>
      </c>
      <c r="B74">
        <v>59</v>
      </c>
      <c r="C74">
        <v>0.7841</v>
      </c>
      <c r="D74">
        <v>0.7932</v>
      </c>
      <c r="E74">
        <v>0.7932</v>
      </c>
      <c r="F74">
        <v>0.7932</v>
      </c>
      <c r="G74">
        <v>0.7932</v>
      </c>
      <c r="H74">
        <v>0.7932</v>
      </c>
      <c r="I74">
        <v>0.7932</v>
      </c>
      <c r="J74">
        <v>0.7932</v>
      </c>
      <c r="K74">
        <v>0.7932</v>
      </c>
      <c r="L74">
        <v>0.7932</v>
      </c>
      <c r="M74">
        <v>0.7948</v>
      </c>
      <c r="N74">
        <v>0.7967369851805909</v>
      </c>
      <c r="O74">
        <v>0.8056</v>
      </c>
    </row>
    <row r="75" spans="1:15" ht="12.75">
      <c r="A75" t="s">
        <v>3</v>
      </c>
      <c r="B75">
        <v>60</v>
      </c>
      <c r="C75">
        <v>0.7752</v>
      </c>
      <c r="D75">
        <v>0.7842</v>
      </c>
      <c r="E75">
        <v>0.7842</v>
      </c>
      <c r="F75">
        <v>0.7842</v>
      </c>
      <c r="G75">
        <v>0.7842</v>
      </c>
      <c r="H75">
        <v>0.7842</v>
      </c>
      <c r="I75">
        <v>0.7842</v>
      </c>
      <c r="J75">
        <v>0.7842</v>
      </c>
      <c r="K75">
        <v>0.7842</v>
      </c>
      <c r="L75">
        <v>0.7842</v>
      </c>
      <c r="M75">
        <v>0.7858</v>
      </c>
      <c r="N75">
        <v>0.7877190501326226</v>
      </c>
      <c r="O75">
        <v>0.7965</v>
      </c>
    </row>
    <row r="76" spans="1:15" ht="12.75">
      <c r="A76" t="s">
        <v>3</v>
      </c>
      <c r="B76">
        <v>61</v>
      </c>
      <c r="C76">
        <v>0.7663</v>
      </c>
      <c r="D76">
        <v>0.7752</v>
      </c>
      <c r="E76">
        <v>0.7752</v>
      </c>
      <c r="F76">
        <v>0.7752</v>
      </c>
      <c r="G76">
        <v>0.7752</v>
      </c>
      <c r="H76">
        <v>0.7752</v>
      </c>
      <c r="I76">
        <v>0.7752</v>
      </c>
      <c r="J76">
        <v>0.7752</v>
      </c>
      <c r="K76">
        <v>0.7752</v>
      </c>
      <c r="L76">
        <v>0.7752</v>
      </c>
      <c r="M76">
        <v>0.7768</v>
      </c>
      <c r="N76">
        <v>0.7787011150846541</v>
      </c>
      <c r="O76">
        <v>0.7874</v>
      </c>
    </row>
    <row r="77" spans="1:15" ht="12.75">
      <c r="A77" t="s">
        <v>3</v>
      </c>
      <c r="B77">
        <v>62</v>
      </c>
      <c r="C77">
        <v>0.7572</v>
      </c>
      <c r="D77">
        <v>0.7661</v>
      </c>
      <c r="E77">
        <v>0.7661</v>
      </c>
      <c r="F77">
        <v>0.7661</v>
      </c>
      <c r="G77">
        <v>0.7661</v>
      </c>
      <c r="H77">
        <v>0.7661</v>
      </c>
      <c r="I77">
        <v>0.7661</v>
      </c>
      <c r="J77">
        <v>0.7661</v>
      </c>
      <c r="K77">
        <v>0.7661</v>
      </c>
      <c r="L77">
        <v>0.7661</v>
      </c>
      <c r="M77">
        <v>0.7677</v>
      </c>
      <c r="N77">
        <v>0.7695831800366857</v>
      </c>
      <c r="O77">
        <v>0.7782</v>
      </c>
    </row>
    <row r="78" spans="1:15" ht="12.75">
      <c r="A78" t="s">
        <v>3</v>
      </c>
      <c r="B78">
        <v>63</v>
      </c>
      <c r="C78">
        <v>0.7482</v>
      </c>
      <c r="D78">
        <v>0.7569</v>
      </c>
      <c r="E78">
        <v>0.7569</v>
      </c>
      <c r="F78">
        <v>0.7569</v>
      </c>
      <c r="G78">
        <v>0.7569</v>
      </c>
      <c r="H78">
        <v>0.7569</v>
      </c>
      <c r="I78">
        <v>0.7569</v>
      </c>
      <c r="J78">
        <v>0.7569</v>
      </c>
      <c r="K78">
        <v>0.7569</v>
      </c>
      <c r="L78">
        <v>0.7569</v>
      </c>
      <c r="M78">
        <v>0.7586</v>
      </c>
      <c r="N78">
        <v>0.7604473099407488</v>
      </c>
      <c r="O78">
        <v>0.7689</v>
      </c>
    </row>
    <row r="79" spans="1:15" ht="12.75">
      <c r="A79" t="s">
        <v>3</v>
      </c>
      <c r="B79">
        <v>64</v>
      </c>
      <c r="C79">
        <v>0.739</v>
      </c>
      <c r="D79">
        <v>0.7477</v>
      </c>
      <c r="E79">
        <v>0.7477</v>
      </c>
      <c r="F79">
        <v>0.7477</v>
      </c>
      <c r="G79">
        <v>0.7477</v>
      </c>
      <c r="H79">
        <v>0.7477</v>
      </c>
      <c r="I79">
        <v>0.7477</v>
      </c>
      <c r="J79">
        <v>0.7477</v>
      </c>
      <c r="K79">
        <v>0.7477</v>
      </c>
      <c r="L79">
        <v>0.7477</v>
      </c>
      <c r="M79">
        <v>0.7493</v>
      </c>
      <c r="N79">
        <v>0.7511293748927803</v>
      </c>
      <c r="O79">
        <v>0.7595</v>
      </c>
    </row>
    <row r="80" spans="1:15" ht="12.75">
      <c r="A80" t="s">
        <v>3</v>
      </c>
      <c r="B80">
        <v>65</v>
      </c>
      <c r="C80">
        <v>0.7298</v>
      </c>
      <c r="D80">
        <v>0.7384</v>
      </c>
      <c r="E80">
        <v>0.7384</v>
      </c>
      <c r="F80">
        <v>0.7384</v>
      </c>
      <c r="G80">
        <v>0.7384</v>
      </c>
      <c r="H80">
        <v>0.7384</v>
      </c>
      <c r="I80">
        <v>0.7384</v>
      </c>
      <c r="J80">
        <v>0.7384</v>
      </c>
      <c r="K80">
        <v>0.7384</v>
      </c>
      <c r="L80">
        <v>0.7384</v>
      </c>
      <c r="M80">
        <v>0.74</v>
      </c>
      <c r="N80">
        <v>0.7418114398448119</v>
      </c>
      <c r="O80">
        <v>0.7501</v>
      </c>
    </row>
    <row r="81" spans="1:15" ht="12.75">
      <c r="A81" t="s">
        <v>3</v>
      </c>
      <c r="B81">
        <v>66</v>
      </c>
      <c r="C81">
        <v>0.7205</v>
      </c>
      <c r="D81">
        <v>0.729</v>
      </c>
      <c r="E81">
        <v>0.729</v>
      </c>
      <c r="F81">
        <v>0.729</v>
      </c>
      <c r="G81">
        <v>0.729</v>
      </c>
      <c r="H81">
        <v>0.729</v>
      </c>
      <c r="I81">
        <v>0.729</v>
      </c>
      <c r="J81">
        <v>0.729</v>
      </c>
      <c r="K81">
        <v>0.729</v>
      </c>
      <c r="L81">
        <v>0.729</v>
      </c>
      <c r="M81">
        <v>0.7306</v>
      </c>
      <c r="N81">
        <v>0.7323935047968435</v>
      </c>
      <c r="O81">
        <v>0.7406</v>
      </c>
    </row>
    <row r="82" spans="1:15" ht="12.75">
      <c r="A82" t="s">
        <v>3</v>
      </c>
      <c r="B82">
        <v>67</v>
      </c>
      <c r="C82">
        <v>0.7112</v>
      </c>
      <c r="D82">
        <v>0.7196</v>
      </c>
      <c r="E82">
        <v>0.7196</v>
      </c>
      <c r="F82">
        <v>0.7196</v>
      </c>
      <c r="G82">
        <v>0.7196</v>
      </c>
      <c r="H82">
        <v>0.7196</v>
      </c>
      <c r="I82">
        <v>0.7196</v>
      </c>
      <c r="J82">
        <v>0.7196</v>
      </c>
      <c r="K82">
        <v>0.7196</v>
      </c>
      <c r="L82">
        <v>0.7196</v>
      </c>
      <c r="M82">
        <v>0.7211</v>
      </c>
      <c r="N82">
        <v>0.722875569748875</v>
      </c>
      <c r="O82">
        <v>0.731</v>
      </c>
    </row>
    <row r="83" spans="1:15" ht="12.75">
      <c r="A83" t="s">
        <v>3</v>
      </c>
      <c r="B83">
        <v>68</v>
      </c>
      <c r="C83">
        <v>0.7019</v>
      </c>
      <c r="D83">
        <v>0.7101</v>
      </c>
      <c r="E83">
        <v>0.7101</v>
      </c>
      <c r="F83">
        <v>0.7101</v>
      </c>
      <c r="G83">
        <v>0.7101</v>
      </c>
      <c r="H83">
        <v>0.7101</v>
      </c>
      <c r="I83">
        <v>0.7101</v>
      </c>
      <c r="J83">
        <v>0.7101</v>
      </c>
      <c r="K83">
        <v>0.7101</v>
      </c>
      <c r="L83">
        <v>0.7101</v>
      </c>
      <c r="M83">
        <v>0.7116</v>
      </c>
      <c r="N83">
        <v>0.7133576347009066</v>
      </c>
      <c r="O83">
        <v>0.7214</v>
      </c>
    </row>
    <row r="84" spans="1:15" ht="12.75">
      <c r="A84" t="s">
        <v>3</v>
      </c>
      <c r="B84">
        <v>69</v>
      </c>
      <c r="C84">
        <v>0.6925</v>
      </c>
      <c r="D84">
        <v>0.7006</v>
      </c>
      <c r="E84">
        <v>0.7006</v>
      </c>
      <c r="F84">
        <v>0.7006</v>
      </c>
      <c r="G84">
        <v>0.7006</v>
      </c>
      <c r="H84">
        <v>0.7006</v>
      </c>
      <c r="I84">
        <v>0.7006</v>
      </c>
      <c r="J84">
        <v>0.7006</v>
      </c>
      <c r="K84">
        <v>0.7006</v>
      </c>
      <c r="L84">
        <v>0.7006</v>
      </c>
      <c r="M84">
        <v>0.702</v>
      </c>
      <c r="N84">
        <v>0.7037576347009066</v>
      </c>
      <c r="O84">
        <v>0.7118</v>
      </c>
    </row>
    <row r="85" spans="1:15" ht="12.75">
      <c r="A85" t="s">
        <v>3</v>
      </c>
      <c r="B85">
        <v>70</v>
      </c>
      <c r="C85">
        <v>0.6831</v>
      </c>
      <c r="D85">
        <v>0.6911</v>
      </c>
      <c r="E85">
        <v>0.6911</v>
      </c>
      <c r="F85">
        <v>0.6911</v>
      </c>
      <c r="G85">
        <v>0.6911</v>
      </c>
      <c r="H85">
        <v>0.6911</v>
      </c>
      <c r="I85">
        <v>0.6911</v>
      </c>
      <c r="J85">
        <v>0.6911</v>
      </c>
      <c r="K85">
        <v>0.6911</v>
      </c>
      <c r="L85">
        <v>0.6911</v>
      </c>
      <c r="M85">
        <v>0.6925</v>
      </c>
      <c r="N85">
        <v>0.6942217646049698</v>
      </c>
      <c r="O85">
        <v>0.7021</v>
      </c>
    </row>
  </sheetData>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Tony at 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 Wenlock</dc:creator>
  <cp:keywords/>
  <dc:description/>
  <cp:lastModifiedBy>BT</cp:lastModifiedBy>
  <dcterms:created xsi:type="dcterms:W3CDTF">2006-10-25T08:13:36Z</dcterms:created>
  <dcterms:modified xsi:type="dcterms:W3CDTF">2008-01-14T10:13:12Z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